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oks\8th semester\1.Irrigation engineering\Lab\canal design by me\"/>
    </mc:Choice>
  </mc:AlternateContent>
  <xr:revisionPtr revIDLastSave="0" documentId="10_ncr:8100000_{D31A81B2-EB1F-497A-91F0-44BFEAA2FEC3}" xr6:coauthVersionLast="32" xr6:coauthVersionMax="32" xr10:uidLastSave="{00000000-0000-0000-0000-000000000000}"/>
  <bookViews>
    <workbookView xWindow="0" yWindow="0" windowWidth="20490" windowHeight="7530" tabRatio="589" activeTab="4" xr2:uid="{00000000-000D-0000-FFFF-FFFF00000000}"/>
  </bookViews>
  <sheets>
    <sheet name="CWR" sheetId="1" r:id="rId1"/>
    <sheet name="Capacity Statememnt" sheetId="2" r:id="rId2"/>
    <sheet name="Canal Design" sheetId="4" r:id="rId3"/>
    <sheet name="Command Statememnt " sheetId="6" r:id="rId4"/>
    <sheet name="warabandi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BC6" i="1"/>
  <c r="N12" i="7" l="1"/>
  <c r="O9" i="7"/>
  <c r="O10" i="7"/>
  <c r="O11" i="7"/>
  <c r="O12" i="7"/>
  <c r="O13" i="7"/>
  <c r="O14" i="7"/>
  <c r="O15" i="7"/>
  <c r="O16" i="7"/>
  <c r="O8" i="7"/>
  <c r="G9" i="7"/>
  <c r="G10" i="7"/>
  <c r="G11" i="7"/>
  <c r="G12" i="7"/>
  <c r="G13" i="7"/>
  <c r="G14" i="7"/>
  <c r="G15" i="7"/>
  <c r="G16" i="7"/>
  <c r="G8" i="7"/>
  <c r="G7" i="7"/>
  <c r="G4" i="6" l="1"/>
  <c r="M7" i="7" l="1"/>
  <c r="F8" i="7" l="1"/>
  <c r="F9" i="7"/>
  <c r="F10" i="7"/>
  <c r="F11" i="7"/>
  <c r="F12" i="7"/>
  <c r="F13" i="7"/>
  <c r="F14" i="7"/>
  <c r="F15" i="7"/>
  <c r="F16" i="7"/>
  <c r="F7" i="7"/>
  <c r="C11" i="7" l="1"/>
  <c r="G17" i="7"/>
  <c r="F17" i="7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4" i="6"/>
  <c r="H8" i="7" l="1"/>
  <c r="I8" i="7" s="1"/>
  <c r="K8" i="7" s="1"/>
  <c r="L8" i="7" s="1"/>
  <c r="H11" i="7"/>
  <c r="I11" i="7" s="1"/>
  <c r="K11" i="7" s="1"/>
  <c r="L11" i="7" s="1"/>
  <c r="H10" i="7"/>
  <c r="I10" i="7" s="1"/>
  <c r="K10" i="7" s="1"/>
  <c r="L10" i="7" s="1"/>
  <c r="H15" i="7"/>
  <c r="I15" i="7" s="1"/>
  <c r="K15" i="7" s="1"/>
  <c r="L15" i="7" s="1"/>
  <c r="H14" i="7"/>
  <c r="I14" i="7" s="1"/>
  <c r="K14" i="7" s="1"/>
  <c r="L14" i="7" s="1"/>
  <c r="H7" i="7"/>
  <c r="I7" i="7" s="1"/>
  <c r="K7" i="7" s="1"/>
  <c r="L7" i="7" s="1"/>
  <c r="N7" i="7" s="1"/>
  <c r="M8" i="7" s="1"/>
  <c r="H13" i="7"/>
  <c r="I13" i="7" s="1"/>
  <c r="K13" i="7" s="1"/>
  <c r="L13" i="7" s="1"/>
  <c r="H9" i="7"/>
  <c r="I9" i="7" s="1"/>
  <c r="K9" i="7" s="1"/>
  <c r="L9" i="7" s="1"/>
  <c r="H16" i="7"/>
  <c r="I16" i="7" s="1"/>
  <c r="K16" i="7" s="1"/>
  <c r="L16" i="7" s="1"/>
  <c r="H12" i="7"/>
  <c r="I12" i="7" s="1"/>
  <c r="K12" i="7" s="1"/>
  <c r="L12" i="7" s="1"/>
  <c r="E24" i="6"/>
  <c r="I24" i="6" s="1"/>
  <c r="E25" i="6"/>
  <c r="I25" i="6" s="1"/>
  <c r="E26" i="6"/>
  <c r="I26" i="6" s="1"/>
  <c r="E27" i="6"/>
  <c r="I27" i="6" s="1"/>
  <c r="E28" i="6"/>
  <c r="I28" i="6" s="1"/>
  <c r="E29" i="6"/>
  <c r="I29" i="6" s="1"/>
  <c r="E30" i="6"/>
  <c r="I30" i="6" s="1"/>
  <c r="E31" i="6"/>
  <c r="I31" i="6" s="1"/>
  <c r="E32" i="6"/>
  <c r="I32" i="6" s="1"/>
  <c r="E33" i="6"/>
  <c r="I33" i="6" s="1"/>
  <c r="E34" i="6"/>
  <c r="I34" i="6" s="1"/>
  <c r="E35" i="6"/>
  <c r="I35" i="6" s="1"/>
  <c r="E36" i="6"/>
  <c r="I36" i="6" s="1"/>
  <c r="E37" i="6"/>
  <c r="I37" i="6" s="1"/>
  <c r="E38" i="6"/>
  <c r="I38" i="6" s="1"/>
  <c r="E39" i="6"/>
  <c r="I39" i="6" s="1"/>
  <c r="E40" i="6"/>
  <c r="I40" i="6" s="1"/>
  <c r="E41" i="6"/>
  <c r="I41" i="6" s="1"/>
  <c r="E42" i="6"/>
  <c r="I42" i="6" s="1"/>
  <c r="E43" i="6"/>
  <c r="I43" i="6" s="1"/>
  <c r="E44" i="6"/>
  <c r="I44" i="6" s="1"/>
  <c r="E45" i="6"/>
  <c r="I45" i="6" s="1"/>
  <c r="E46" i="6"/>
  <c r="I46" i="6" s="1"/>
  <c r="E47" i="6"/>
  <c r="I47" i="6" s="1"/>
  <c r="E48" i="6"/>
  <c r="I48" i="6" s="1"/>
  <c r="E49" i="6"/>
  <c r="I49" i="6" s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4" i="6"/>
  <c r="I7" i="2"/>
  <c r="I8" i="2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4" i="6"/>
  <c r="B5" i="6"/>
  <c r="Q5" i="6" s="1"/>
  <c r="B6" i="6"/>
  <c r="Q6" i="6" s="1"/>
  <c r="B7" i="6"/>
  <c r="Q7" i="6" s="1"/>
  <c r="B8" i="6"/>
  <c r="Q8" i="6" s="1"/>
  <c r="B9" i="6"/>
  <c r="Q9" i="6" s="1"/>
  <c r="B10" i="6"/>
  <c r="Q10" i="6" s="1"/>
  <c r="B11" i="6"/>
  <c r="Q11" i="6" s="1"/>
  <c r="B12" i="6"/>
  <c r="Q12" i="6" s="1"/>
  <c r="B13" i="6"/>
  <c r="Q13" i="6" s="1"/>
  <c r="B14" i="6"/>
  <c r="Q14" i="6" s="1"/>
  <c r="B15" i="6"/>
  <c r="Q15" i="6" s="1"/>
  <c r="B16" i="6"/>
  <c r="Q16" i="6" s="1"/>
  <c r="B17" i="6"/>
  <c r="Q17" i="6" s="1"/>
  <c r="B18" i="6"/>
  <c r="Q18" i="6" s="1"/>
  <c r="B19" i="6"/>
  <c r="Q19" i="6" s="1"/>
  <c r="B20" i="6"/>
  <c r="Q20" i="6" s="1"/>
  <c r="B21" i="6"/>
  <c r="Q21" i="6" s="1"/>
  <c r="B22" i="6"/>
  <c r="Q22" i="6" s="1"/>
  <c r="B23" i="6"/>
  <c r="Q23" i="6" s="1"/>
  <c r="B24" i="6"/>
  <c r="Q24" i="6" s="1"/>
  <c r="B25" i="6"/>
  <c r="Q25" i="6" s="1"/>
  <c r="B26" i="6"/>
  <c r="Q26" i="6" s="1"/>
  <c r="B27" i="6"/>
  <c r="Q27" i="6" s="1"/>
  <c r="B28" i="6"/>
  <c r="Q28" i="6" s="1"/>
  <c r="B29" i="6"/>
  <c r="Q29" i="6" s="1"/>
  <c r="B30" i="6"/>
  <c r="Q30" i="6" s="1"/>
  <c r="B31" i="6"/>
  <c r="Q31" i="6" s="1"/>
  <c r="B32" i="6"/>
  <c r="Q32" i="6" s="1"/>
  <c r="B33" i="6"/>
  <c r="Q33" i="6" s="1"/>
  <c r="B34" i="6"/>
  <c r="Q34" i="6" s="1"/>
  <c r="B35" i="6"/>
  <c r="Q35" i="6" s="1"/>
  <c r="B36" i="6"/>
  <c r="Q36" i="6" s="1"/>
  <c r="B37" i="6"/>
  <c r="Q37" i="6" s="1"/>
  <c r="B38" i="6"/>
  <c r="Q38" i="6" s="1"/>
  <c r="B39" i="6"/>
  <c r="Q39" i="6" s="1"/>
  <c r="B40" i="6"/>
  <c r="Q40" i="6" s="1"/>
  <c r="B41" i="6"/>
  <c r="Q41" i="6" s="1"/>
  <c r="B42" i="6"/>
  <c r="Q42" i="6" s="1"/>
  <c r="B43" i="6"/>
  <c r="Q43" i="6" s="1"/>
  <c r="B44" i="6"/>
  <c r="Q44" i="6" s="1"/>
  <c r="B45" i="6"/>
  <c r="Q45" i="6" s="1"/>
  <c r="B46" i="6"/>
  <c r="Q46" i="6" s="1"/>
  <c r="B47" i="6"/>
  <c r="Q47" i="6" s="1"/>
  <c r="B48" i="6"/>
  <c r="Q48" i="6" s="1"/>
  <c r="B49" i="6"/>
  <c r="Q49" i="6" s="1"/>
  <c r="B4" i="6"/>
  <c r="Q4" i="6" s="1"/>
  <c r="N8" i="7" l="1"/>
  <c r="M9" i="7" s="1"/>
  <c r="N9" i="7" s="1"/>
  <c r="M10" i="7" s="1"/>
  <c r="N10" i="7" s="1"/>
  <c r="M11" i="7" s="1"/>
  <c r="N11" i="7" s="1"/>
  <c r="M12" i="7" s="1"/>
  <c r="M13" i="7" s="1"/>
  <c r="N13" i="7" s="1"/>
  <c r="M14" i="7" s="1"/>
  <c r="N14" i="7" s="1"/>
  <c r="M15" i="7" s="1"/>
  <c r="N15" i="7" s="1"/>
  <c r="M16" i="7" s="1"/>
  <c r="N16" i="7" s="1"/>
  <c r="I17" i="7"/>
  <c r="D4" i="6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7" i="4"/>
  <c r="M8" i="2"/>
  <c r="M11" i="2"/>
  <c r="M15" i="2"/>
  <c r="M19" i="2"/>
  <c r="M23" i="2"/>
  <c r="M27" i="2"/>
  <c r="M31" i="2"/>
  <c r="M35" i="2"/>
  <c r="M39" i="2"/>
  <c r="M43" i="2"/>
  <c r="M47" i="2"/>
  <c r="M51" i="2"/>
  <c r="M7" i="2"/>
  <c r="I10" i="2"/>
  <c r="M10" i="2" s="1"/>
  <c r="I11" i="2"/>
  <c r="I12" i="2"/>
  <c r="M12" i="2" s="1"/>
  <c r="I13" i="2"/>
  <c r="M13" i="2" s="1"/>
  <c r="I14" i="2"/>
  <c r="M14" i="2" s="1"/>
  <c r="I15" i="2"/>
  <c r="I16" i="2"/>
  <c r="M16" i="2" s="1"/>
  <c r="I17" i="2"/>
  <c r="M17" i="2" s="1"/>
  <c r="I18" i="2"/>
  <c r="M18" i="2" s="1"/>
  <c r="I19" i="2"/>
  <c r="I20" i="2"/>
  <c r="M20" i="2" s="1"/>
  <c r="I21" i="2"/>
  <c r="M21" i="2" s="1"/>
  <c r="I22" i="2"/>
  <c r="M22" i="2" s="1"/>
  <c r="I23" i="2"/>
  <c r="I24" i="2"/>
  <c r="M24" i="2" s="1"/>
  <c r="I25" i="2"/>
  <c r="M25" i="2" s="1"/>
  <c r="I26" i="2"/>
  <c r="M26" i="2" s="1"/>
  <c r="I27" i="2"/>
  <c r="I28" i="2"/>
  <c r="M28" i="2" s="1"/>
  <c r="I29" i="2"/>
  <c r="M29" i="2" s="1"/>
  <c r="I30" i="2"/>
  <c r="M30" i="2" s="1"/>
  <c r="I31" i="2"/>
  <c r="I32" i="2"/>
  <c r="M32" i="2" s="1"/>
  <c r="I33" i="2"/>
  <c r="M33" i="2" s="1"/>
  <c r="I34" i="2"/>
  <c r="M34" i="2" s="1"/>
  <c r="I35" i="2"/>
  <c r="I36" i="2"/>
  <c r="M36" i="2" s="1"/>
  <c r="I37" i="2"/>
  <c r="M37" i="2" s="1"/>
  <c r="I38" i="2"/>
  <c r="M38" i="2" s="1"/>
  <c r="I39" i="2"/>
  <c r="I40" i="2"/>
  <c r="M40" i="2" s="1"/>
  <c r="I41" i="2"/>
  <c r="M41" i="2" s="1"/>
  <c r="I42" i="2"/>
  <c r="M42" i="2" s="1"/>
  <c r="I43" i="2"/>
  <c r="I44" i="2"/>
  <c r="M44" i="2" s="1"/>
  <c r="I45" i="2"/>
  <c r="M45" i="2" s="1"/>
  <c r="I46" i="2"/>
  <c r="M46" i="2" s="1"/>
  <c r="I47" i="2"/>
  <c r="I48" i="2"/>
  <c r="M48" i="2" s="1"/>
  <c r="I49" i="2"/>
  <c r="M49" i="2" s="1"/>
  <c r="I50" i="2"/>
  <c r="M50" i="2" s="1"/>
  <c r="I51" i="2"/>
  <c r="I52" i="2"/>
  <c r="M52" i="2" s="1"/>
  <c r="I9" i="2"/>
  <c r="M9" i="2" s="1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40" i="2"/>
  <c r="G40" i="2" s="1"/>
  <c r="E41" i="2"/>
  <c r="G41" i="2" s="1"/>
  <c r="E42" i="2"/>
  <c r="G42" i="2" s="1"/>
  <c r="E43" i="2"/>
  <c r="G43" i="2" s="1"/>
  <c r="E44" i="2"/>
  <c r="G44" i="2" s="1"/>
  <c r="E45" i="2"/>
  <c r="G45" i="2" s="1"/>
  <c r="E46" i="2"/>
  <c r="G46" i="2" s="1"/>
  <c r="E47" i="2"/>
  <c r="G47" i="2" s="1"/>
  <c r="E48" i="2"/>
  <c r="G48" i="2" s="1"/>
  <c r="E49" i="2"/>
  <c r="G49" i="2" s="1"/>
  <c r="E50" i="2"/>
  <c r="G50" i="2" s="1"/>
  <c r="E51" i="2"/>
  <c r="G51" i="2" s="1"/>
  <c r="E52" i="2"/>
  <c r="G52" i="2" s="1"/>
  <c r="E7" i="2"/>
  <c r="G7" i="2" s="1"/>
  <c r="G3" i="2"/>
  <c r="BC20" i="1" l="1"/>
  <c r="BC21" i="1"/>
  <c r="BC22" i="1"/>
  <c r="BC23" i="1"/>
  <c r="BC19" i="1"/>
  <c r="X23" i="1"/>
  <c r="AR19" i="1"/>
  <c r="AN20" i="1"/>
  <c r="AN21" i="1"/>
  <c r="AN22" i="1"/>
  <c r="AN23" i="1"/>
  <c r="AN19" i="1"/>
  <c r="AJ20" i="1"/>
  <c r="AJ21" i="1"/>
  <c r="AJ22" i="1"/>
  <c r="AJ23" i="1"/>
  <c r="AJ19" i="1"/>
  <c r="AF20" i="1"/>
  <c r="AF21" i="1"/>
  <c r="AF22" i="1"/>
  <c r="AF23" i="1"/>
  <c r="AF19" i="1"/>
  <c r="AB20" i="1"/>
  <c r="AB21" i="1"/>
  <c r="AB22" i="1"/>
  <c r="AB23" i="1"/>
  <c r="AB19" i="1"/>
  <c r="X21" i="1"/>
  <c r="X22" i="1"/>
  <c r="X20" i="1"/>
  <c r="R21" i="1"/>
  <c r="R22" i="1"/>
  <c r="R20" i="1"/>
  <c r="BA19" i="1" l="1"/>
  <c r="BB19" i="1" s="1"/>
  <c r="BD19" i="1" s="1"/>
  <c r="BA23" i="1"/>
  <c r="BB23" i="1" s="1"/>
  <c r="BD23" i="1" s="1"/>
  <c r="K5" i="6" l="1"/>
  <c r="AT6" i="1" l="1"/>
  <c r="AX7" i="1" l="1"/>
  <c r="AX8" i="1"/>
  <c r="AX9" i="1"/>
  <c r="AX10" i="1"/>
  <c r="AX11" i="1"/>
  <c r="AX6" i="1"/>
  <c r="AT7" i="1"/>
  <c r="AT8" i="1"/>
  <c r="AT9" i="1"/>
  <c r="AT10" i="1"/>
  <c r="AT11" i="1"/>
  <c r="AP7" i="1"/>
  <c r="AP11" i="1"/>
  <c r="AL7" i="1"/>
  <c r="AH7" i="1"/>
  <c r="AD7" i="1"/>
  <c r="Z7" i="1"/>
  <c r="V7" i="1"/>
  <c r="R7" i="1"/>
  <c r="N7" i="1"/>
  <c r="N8" i="1"/>
  <c r="N9" i="1"/>
  <c r="N10" i="1"/>
  <c r="N6" i="1"/>
  <c r="J7" i="1"/>
  <c r="J8" i="1"/>
  <c r="J9" i="1"/>
  <c r="J10" i="1"/>
  <c r="J6" i="1"/>
  <c r="F8" i="1" l="1"/>
  <c r="F9" i="1"/>
  <c r="F10" i="1"/>
  <c r="F6" i="1"/>
  <c r="K6" i="6" l="1"/>
  <c r="N5" i="6"/>
  <c r="P5" i="6" s="1"/>
  <c r="N6" i="6"/>
  <c r="P6" i="6" s="1"/>
  <c r="N8" i="6"/>
  <c r="P8" i="6" s="1"/>
  <c r="N10" i="6"/>
  <c r="P10" i="6" s="1"/>
  <c r="N12" i="6"/>
  <c r="P12" i="6" s="1"/>
  <c r="N14" i="6"/>
  <c r="P14" i="6" s="1"/>
  <c r="N16" i="6"/>
  <c r="P16" i="6" s="1"/>
  <c r="N18" i="6"/>
  <c r="P18" i="6" s="1"/>
  <c r="N20" i="6"/>
  <c r="P20" i="6" s="1"/>
  <c r="N22" i="6"/>
  <c r="P22" i="6" s="1"/>
  <c r="N21" i="6" l="1"/>
  <c r="P21" i="6" s="1"/>
  <c r="N19" i="6"/>
  <c r="P19" i="6" s="1"/>
  <c r="N17" i="6"/>
  <c r="P17" i="6" s="1"/>
  <c r="N15" i="6"/>
  <c r="P15" i="6" s="1"/>
  <c r="N13" i="6"/>
  <c r="P13" i="6" s="1"/>
  <c r="N11" i="6"/>
  <c r="P11" i="6" s="1"/>
  <c r="N9" i="6"/>
  <c r="P9" i="6" s="1"/>
  <c r="N7" i="6"/>
  <c r="P7" i="6" s="1"/>
  <c r="N23" i="6" l="1"/>
  <c r="P23" i="6" s="1"/>
  <c r="K24" i="6" l="1"/>
  <c r="N24" i="6"/>
  <c r="P24" i="6" s="1"/>
  <c r="F24" i="6"/>
  <c r="G24" i="6" s="1"/>
  <c r="K25" i="6" l="1"/>
  <c r="N25" i="6"/>
  <c r="P25" i="6" s="1"/>
  <c r="F25" i="6"/>
  <c r="G25" i="6" s="1"/>
  <c r="I4" i="6"/>
  <c r="I5" i="6"/>
  <c r="F5" i="6" s="1"/>
  <c r="G5" i="6" s="1"/>
  <c r="I21" i="6"/>
  <c r="F21" i="6" s="1"/>
  <c r="G21" i="6" s="1"/>
  <c r="I9" i="6"/>
  <c r="F9" i="6" s="1"/>
  <c r="G9" i="6" s="1"/>
  <c r="I15" i="6"/>
  <c r="F15" i="6" s="1"/>
  <c r="G15" i="6" s="1"/>
  <c r="I8" i="6"/>
  <c r="I13" i="6"/>
  <c r="I16" i="6"/>
  <c r="I19" i="6"/>
  <c r="I22" i="6"/>
  <c r="I6" i="6"/>
  <c r="F6" i="6" s="1"/>
  <c r="G6" i="6" s="1"/>
  <c r="I10" i="6"/>
  <c r="I7" i="6"/>
  <c r="I17" i="6"/>
  <c r="F17" i="6" s="1"/>
  <c r="G17" i="6" s="1"/>
  <c r="I20" i="6"/>
  <c r="F20" i="6" s="1"/>
  <c r="G20" i="6" s="1"/>
  <c r="K17" i="6"/>
  <c r="K12" i="6"/>
  <c r="I12" i="6"/>
  <c r="F12" i="6" s="1"/>
  <c r="G12" i="6" s="1"/>
  <c r="K20" i="6"/>
  <c r="K15" i="6"/>
  <c r="I23" i="6"/>
  <c r="K21" i="6"/>
  <c r="K9" i="6"/>
  <c r="N26" i="6" l="1"/>
  <c r="P26" i="6" s="1"/>
  <c r="F26" i="6"/>
  <c r="G26" i="6" s="1"/>
  <c r="K26" i="6"/>
  <c r="K10" i="6"/>
  <c r="F10" i="6"/>
  <c r="G10" i="6" s="1"/>
  <c r="K16" i="6"/>
  <c r="F16" i="6"/>
  <c r="G16" i="6" s="1"/>
  <c r="K13" i="6"/>
  <c r="F13" i="6"/>
  <c r="G13" i="6" s="1"/>
  <c r="K19" i="6"/>
  <c r="F19" i="6"/>
  <c r="G19" i="6" s="1"/>
  <c r="K7" i="6"/>
  <c r="F7" i="6"/>
  <c r="G7" i="6" s="1"/>
  <c r="K8" i="6"/>
  <c r="F8" i="6"/>
  <c r="G8" i="6" s="1"/>
  <c r="K23" i="6"/>
  <c r="F23" i="6"/>
  <c r="G23" i="6" s="1"/>
  <c r="K22" i="6"/>
  <c r="F22" i="6"/>
  <c r="G22" i="6" s="1"/>
  <c r="I11" i="6"/>
  <c r="I14" i="6"/>
  <c r="I18" i="6"/>
  <c r="N27" i="6" l="1"/>
  <c r="P27" i="6" s="1"/>
  <c r="F27" i="6"/>
  <c r="G27" i="6" s="1"/>
  <c r="K27" i="6"/>
  <c r="K11" i="6"/>
  <c r="F11" i="6"/>
  <c r="G11" i="6" s="1"/>
  <c r="K18" i="6"/>
  <c r="F18" i="6"/>
  <c r="G18" i="6" s="1"/>
  <c r="K14" i="6"/>
  <c r="F14" i="6"/>
  <c r="G14" i="6" s="1"/>
  <c r="BM32" i="1"/>
  <c r="K28" i="6" l="1"/>
  <c r="N28" i="6"/>
  <c r="P28" i="6" s="1"/>
  <c r="F28" i="6"/>
  <c r="G28" i="6" s="1"/>
  <c r="BC7" i="1"/>
  <c r="BC8" i="1"/>
  <c r="BC9" i="1"/>
  <c r="BC10" i="1"/>
  <c r="BC11" i="1"/>
  <c r="BM31" i="1"/>
  <c r="K29" i="6" l="1"/>
  <c r="N29" i="6"/>
  <c r="P29" i="6" s="1"/>
  <c r="F29" i="6"/>
  <c r="G29" i="6" s="1"/>
  <c r="BI31" i="1"/>
  <c r="BI32" i="1"/>
  <c r="BI33" i="1"/>
  <c r="BI34" i="1"/>
  <c r="W7" i="1" s="1"/>
  <c r="X7" i="1" s="1"/>
  <c r="BI35" i="1"/>
  <c r="AA7" i="1" s="1"/>
  <c r="AB7" i="1" s="1"/>
  <c r="BI36" i="1"/>
  <c r="AE7" i="1" s="1"/>
  <c r="AF7" i="1" s="1"/>
  <c r="BI37" i="1"/>
  <c r="AI7" i="1" s="1"/>
  <c r="AJ7" i="1" s="1"/>
  <c r="BI38" i="1"/>
  <c r="AM7" i="1" s="1"/>
  <c r="AN7" i="1" s="1"/>
  <c r="BI39" i="1"/>
  <c r="BI40" i="1"/>
  <c r="BI41" i="1"/>
  <c r="BI30" i="1"/>
  <c r="N30" i="6" l="1"/>
  <c r="P30" i="6" s="1"/>
  <c r="F30" i="6"/>
  <c r="G30" i="6" s="1"/>
  <c r="K30" i="6"/>
  <c r="S7" i="1"/>
  <c r="T7" i="1" s="1"/>
  <c r="S20" i="1"/>
  <c r="T20" i="1" s="1"/>
  <c r="BA20" i="1" s="1"/>
  <c r="BB20" i="1" s="1"/>
  <c r="BD20" i="1" s="1"/>
  <c r="S21" i="1"/>
  <c r="T21" i="1" s="1"/>
  <c r="BA21" i="1" s="1"/>
  <c r="BB21" i="1" s="1"/>
  <c r="BD21" i="1" s="1"/>
  <c r="S22" i="1"/>
  <c r="T22" i="1" s="1"/>
  <c r="BA22" i="1" s="1"/>
  <c r="BB22" i="1" s="1"/>
  <c r="BD22" i="1" s="1"/>
  <c r="AY7" i="1"/>
  <c r="AZ7" i="1" s="1"/>
  <c r="AY9" i="1"/>
  <c r="AZ9" i="1" s="1"/>
  <c r="AY11" i="1"/>
  <c r="AZ11" i="1" s="1"/>
  <c r="AY6" i="1"/>
  <c r="AZ6" i="1" s="1"/>
  <c r="AY8" i="1"/>
  <c r="AZ8" i="1" s="1"/>
  <c r="AY10" i="1"/>
  <c r="AZ10" i="1" s="1"/>
  <c r="AQ11" i="1"/>
  <c r="AR11" i="1" s="1"/>
  <c r="AQ7" i="1"/>
  <c r="AR7" i="1" s="1"/>
  <c r="K9" i="1"/>
  <c r="L9" i="1" s="1"/>
  <c r="K10" i="1"/>
  <c r="L10" i="1" s="1"/>
  <c r="K7" i="1"/>
  <c r="L7" i="1" s="1"/>
  <c r="K6" i="1"/>
  <c r="L6" i="1" s="1"/>
  <c r="K8" i="1"/>
  <c r="L8" i="1" s="1"/>
  <c r="G10" i="1"/>
  <c r="H10" i="1" s="1"/>
  <c r="G6" i="1"/>
  <c r="H6" i="1" s="1"/>
  <c r="G8" i="1"/>
  <c r="H8" i="1" s="1"/>
  <c r="G9" i="1"/>
  <c r="H9" i="1" s="1"/>
  <c r="AU6" i="1"/>
  <c r="AV6" i="1" s="1"/>
  <c r="AU7" i="1"/>
  <c r="AV7" i="1" s="1"/>
  <c r="AU9" i="1"/>
  <c r="AV9" i="1" s="1"/>
  <c r="AU11" i="1"/>
  <c r="AV11" i="1" s="1"/>
  <c r="AU8" i="1"/>
  <c r="AV8" i="1" s="1"/>
  <c r="AU10" i="1"/>
  <c r="AV10" i="1" s="1"/>
  <c r="O10" i="1"/>
  <c r="P10" i="1" s="1"/>
  <c r="O7" i="1"/>
  <c r="P7" i="1" s="1"/>
  <c r="O6" i="1"/>
  <c r="P6" i="1" s="1"/>
  <c r="O8" i="1"/>
  <c r="P8" i="1" s="1"/>
  <c r="O9" i="1"/>
  <c r="P9" i="1" s="1"/>
  <c r="N31" i="6" l="1"/>
  <c r="P31" i="6" s="1"/>
  <c r="F31" i="6"/>
  <c r="G31" i="6" s="1"/>
  <c r="K31" i="6"/>
  <c r="BA8" i="1"/>
  <c r="BB8" i="1" s="1"/>
  <c r="BD8" i="1" s="1"/>
  <c r="BD24" i="1"/>
  <c r="BL32" i="1" s="1"/>
  <c r="BN32" i="1" s="1"/>
  <c r="BA6" i="1"/>
  <c r="BB6" i="1" s="1"/>
  <c r="BD6" i="1" s="1"/>
  <c r="BA7" i="1"/>
  <c r="BB7" i="1" s="1"/>
  <c r="BD7" i="1" s="1"/>
  <c r="BA11" i="1"/>
  <c r="BB11" i="1" s="1"/>
  <c r="BD11" i="1" s="1"/>
  <c r="BA10" i="1"/>
  <c r="BB10" i="1" s="1"/>
  <c r="BD10" i="1" s="1"/>
  <c r="BA9" i="1"/>
  <c r="BB9" i="1" s="1"/>
  <c r="BD9" i="1" s="1"/>
  <c r="K32" i="6" l="1"/>
  <c r="N32" i="6"/>
  <c r="P32" i="6" s="1"/>
  <c r="F32" i="6"/>
  <c r="G32" i="6" s="1"/>
  <c r="BD12" i="1"/>
  <c r="BL31" i="1" s="1"/>
  <c r="BN31" i="1" s="1"/>
  <c r="BQ30" i="1" s="1"/>
  <c r="BQ31" i="1" s="1"/>
  <c r="BQ32" i="1" s="1"/>
  <c r="BQ33" i="1" s="1"/>
  <c r="K33" i="6" l="1"/>
  <c r="N33" i="6"/>
  <c r="P33" i="6" s="1"/>
  <c r="F33" i="6"/>
  <c r="G33" i="6" s="1"/>
  <c r="BQ35" i="1"/>
  <c r="BQ36" i="1" l="1"/>
  <c r="G4" i="2"/>
  <c r="N34" i="6"/>
  <c r="P34" i="6" s="1"/>
  <c r="F34" i="6"/>
  <c r="G34" i="6" s="1"/>
  <c r="K34" i="6"/>
  <c r="G2" i="2"/>
  <c r="J8" i="2" l="1"/>
  <c r="K8" i="2" s="1"/>
  <c r="N8" i="2" s="1"/>
  <c r="J49" i="2"/>
  <c r="J41" i="2"/>
  <c r="K41" i="2" s="1"/>
  <c r="N41" i="2" s="1"/>
  <c r="J32" i="2"/>
  <c r="K32" i="2" s="1"/>
  <c r="N32" i="2" s="1"/>
  <c r="J43" i="2"/>
  <c r="K43" i="2" s="1"/>
  <c r="N43" i="2" s="1"/>
  <c r="J27" i="2"/>
  <c r="J50" i="2"/>
  <c r="K50" i="2" s="1"/>
  <c r="N50" i="2" s="1"/>
  <c r="J34" i="2"/>
  <c r="K34" i="2" s="1"/>
  <c r="N34" i="2" s="1"/>
  <c r="J19" i="2"/>
  <c r="J22" i="2"/>
  <c r="J25" i="2"/>
  <c r="K25" i="2" s="1"/>
  <c r="N25" i="2" s="1"/>
  <c r="J9" i="2"/>
  <c r="K9" i="2" s="1"/>
  <c r="N9" i="2" s="1"/>
  <c r="J12" i="2"/>
  <c r="J48" i="2"/>
  <c r="J35" i="2"/>
  <c r="K35" i="2" s="1"/>
  <c r="N35" i="2" s="1"/>
  <c r="J44" i="2"/>
  <c r="K44" i="2" s="1"/>
  <c r="N44" i="2" s="1"/>
  <c r="J7" i="2"/>
  <c r="K7" i="2" s="1"/>
  <c r="N7" i="2" s="1"/>
  <c r="J11" i="2"/>
  <c r="J14" i="2"/>
  <c r="K14" i="2" s="1"/>
  <c r="N14" i="2" s="1"/>
  <c r="J20" i="2"/>
  <c r="K20" i="2" s="1"/>
  <c r="N20" i="2" s="1"/>
  <c r="J45" i="2"/>
  <c r="J40" i="2"/>
  <c r="J47" i="2"/>
  <c r="K47" i="2" s="1"/>
  <c r="N47" i="2" s="1"/>
  <c r="J36" i="2"/>
  <c r="K36" i="2" s="1"/>
  <c r="N36" i="2" s="1"/>
  <c r="J23" i="2"/>
  <c r="K23" i="2" s="1"/>
  <c r="N23" i="2" s="1"/>
  <c r="J10" i="2"/>
  <c r="J16" i="2"/>
  <c r="K16" i="2" s="1"/>
  <c r="N16" i="2" s="1"/>
  <c r="J33" i="2"/>
  <c r="K33" i="2" s="1"/>
  <c r="N33" i="2" s="1"/>
  <c r="J37" i="2"/>
  <c r="J28" i="2"/>
  <c r="K28" i="2" s="1"/>
  <c r="N28" i="2" s="1"/>
  <c r="J39" i="2"/>
  <c r="K39" i="2" s="1"/>
  <c r="N39" i="2" s="1"/>
  <c r="J52" i="2"/>
  <c r="K52" i="2" s="1"/>
  <c r="N52" i="2" s="1"/>
  <c r="O52" i="2" s="1"/>
  <c r="J46" i="2"/>
  <c r="J30" i="2"/>
  <c r="J15" i="2"/>
  <c r="K15" i="2" s="1"/>
  <c r="N15" i="2" s="1"/>
  <c r="J18" i="2"/>
  <c r="K18" i="2" s="1"/>
  <c r="N18" i="2" s="1"/>
  <c r="J21" i="2"/>
  <c r="J24" i="2"/>
  <c r="J29" i="2"/>
  <c r="K29" i="2" s="1"/>
  <c r="N29" i="2" s="1"/>
  <c r="J51" i="2"/>
  <c r="K51" i="2" s="1"/>
  <c r="N51" i="2" s="1"/>
  <c r="J42" i="2"/>
  <c r="J17" i="2"/>
  <c r="J31" i="2"/>
  <c r="K31" i="2" s="1"/>
  <c r="N31" i="2" s="1"/>
  <c r="J38" i="2"/>
  <c r="K38" i="2" s="1"/>
  <c r="N38" i="2" s="1"/>
  <c r="J26" i="2"/>
  <c r="K26" i="2" s="1"/>
  <c r="N26" i="2" s="1"/>
  <c r="J13" i="2"/>
  <c r="N35" i="6"/>
  <c r="P35" i="6" s="1"/>
  <c r="F35" i="6"/>
  <c r="G35" i="6" s="1"/>
  <c r="K35" i="6"/>
  <c r="K45" i="2"/>
  <c r="N45" i="2" s="1"/>
  <c r="K49" i="2"/>
  <c r="N49" i="2" s="1"/>
  <c r="K37" i="2"/>
  <c r="N37" i="2" s="1"/>
  <c r="K40" i="2"/>
  <c r="N40" i="2" s="1"/>
  <c r="K46" i="2"/>
  <c r="N46" i="2" s="1"/>
  <c r="K48" i="2"/>
  <c r="N48" i="2" s="1"/>
  <c r="K42" i="2"/>
  <c r="N42" i="2" s="1"/>
  <c r="K30" i="2"/>
  <c r="N30" i="2" s="1"/>
  <c r="K27" i="2"/>
  <c r="N27" i="2" s="1"/>
  <c r="K17" i="2"/>
  <c r="N17" i="2" s="1"/>
  <c r="K24" i="2"/>
  <c r="N24" i="2" s="1"/>
  <c r="K21" i="2"/>
  <c r="N21" i="2" s="1"/>
  <c r="K22" i="2"/>
  <c r="N22" i="2" s="1"/>
  <c r="K10" i="2"/>
  <c r="N10" i="2" s="1"/>
  <c r="K13" i="2"/>
  <c r="N13" i="2" s="1"/>
  <c r="K19" i="2"/>
  <c r="N19" i="2" s="1"/>
  <c r="K12" i="2"/>
  <c r="N12" i="2" s="1"/>
  <c r="K11" i="2"/>
  <c r="N11" i="2" s="1"/>
  <c r="K36" i="6" l="1"/>
  <c r="N36" i="6"/>
  <c r="P36" i="6" s="1"/>
  <c r="F36" i="6"/>
  <c r="G36" i="6" s="1"/>
  <c r="O51" i="2"/>
  <c r="D51" i="4" s="1"/>
  <c r="D52" i="4"/>
  <c r="K37" i="6" l="1"/>
  <c r="N37" i="6"/>
  <c r="P37" i="6" s="1"/>
  <c r="F37" i="6"/>
  <c r="G37" i="6" s="1"/>
  <c r="O50" i="2"/>
  <c r="E52" i="4"/>
  <c r="K52" i="4" s="1"/>
  <c r="F52" i="4"/>
  <c r="F51" i="4"/>
  <c r="G51" i="4" s="1"/>
  <c r="E51" i="4"/>
  <c r="K51" i="4" s="1"/>
  <c r="N38" i="6" l="1"/>
  <c r="P38" i="6" s="1"/>
  <c r="F38" i="6"/>
  <c r="G38" i="6" s="1"/>
  <c r="K38" i="6"/>
  <c r="G52" i="4"/>
  <c r="I52" i="4" s="1"/>
  <c r="H51" i="4"/>
  <c r="I51" i="4"/>
  <c r="O49" i="2"/>
  <c r="D50" i="4"/>
  <c r="N39" i="6" l="1"/>
  <c r="P39" i="6" s="1"/>
  <c r="F39" i="6"/>
  <c r="G39" i="6" s="1"/>
  <c r="K39" i="6"/>
  <c r="O48" i="2"/>
  <c r="D49" i="4"/>
  <c r="L51" i="4"/>
  <c r="F50" i="4"/>
  <c r="E50" i="4"/>
  <c r="K50" i="4" s="1"/>
  <c r="H52" i="4"/>
  <c r="L52" i="4"/>
  <c r="K40" i="6" l="1"/>
  <c r="N40" i="6"/>
  <c r="P40" i="6" s="1"/>
  <c r="F40" i="6"/>
  <c r="G40" i="6" s="1"/>
  <c r="N52" i="4"/>
  <c r="M52" i="4"/>
  <c r="M51" i="4"/>
  <c r="N51" i="4"/>
  <c r="F49" i="4"/>
  <c r="E49" i="4"/>
  <c r="K49" i="4" s="1"/>
  <c r="G50" i="4"/>
  <c r="I50" i="4" s="1"/>
  <c r="O47" i="2"/>
  <c r="D48" i="4"/>
  <c r="K41" i="6" l="1"/>
  <c r="N41" i="6"/>
  <c r="P41" i="6" s="1"/>
  <c r="F41" i="6"/>
  <c r="G41" i="6" s="1"/>
  <c r="E48" i="4"/>
  <c r="K48" i="4" s="1"/>
  <c r="F48" i="4"/>
  <c r="G49" i="4"/>
  <c r="I49" i="4" s="1"/>
  <c r="O51" i="4"/>
  <c r="L48" i="6" s="1"/>
  <c r="P51" i="4"/>
  <c r="O46" i="2"/>
  <c r="D47" i="4"/>
  <c r="H50" i="4"/>
  <c r="O52" i="4"/>
  <c r="L49" i="6" s="1"/>
  <c r="P52" i="4"/>
  <c r="L50" i="4"/>
  <c r="N42" i="6" l="1"/>
  <c r="P42" i="6" s="1"/>
  <c r="F42" i="6"/>
  <c r="G42" i="6" s="1"/>
  <c r="K42" i="6"/>
  <c r="H49" i="4"/>
  <c r="L49" i="4"/>
  <c r="O45" i="2"/>
  <c r="D46" i="4"/>
  <c r="G48" i="4"/>
  <c r="I48" i="4" s="1"/>
  <c r="M50" i="4"/>
  <c r="N50" i="4"/>
  <c r="F47" i="4"/>
  <c r="E47" i="4"/>
  <c r="K47" i="4" s="1"/>
  <c r="N43" i="6" l="1"/>
  <c r="P43" i="6" s="1"/>
  <c r="F43" i="6"/>
  <c r="G43" i="6" s="1"/>
  <c r="K43" i="6"/>
  <c r="O50" i="4"/>
  <c r="L47" i="6" s="1"/>
  <c r="P50" i="4"/>
  <c r="O44" i="2"/>
  <c r="D45" i="4"/>
  <c r="F46" i="4"/>
  <c r="E46" i="4"/>
  <c r="K46" i="4" s="1"/>
  <c r="H48" i="4"/>
  <c r="G47" i="4"/>
  <c r="I47" i="4" s="1"/>
  <c r="L48" i="4"/>
  <c r="M49" i="4"/>
  <c r="N49" i="4"/>
  <c r="K44" i="6" l="1"/>
  <c r="N44" i="6"/>
  <c r="P44" i="6" s="1"/>
  <c r="F44" i="6"/>
  <c r="G44" i="6" s="1"/>
  <c r="L47" i="4"/>
  <c r="O43" i="2"/>
  <c r="D44" i="4"/>
  <c r="N48" i="4"/>
  <c r="M48" i="4"/>
  <c r="F45" i="4"/>
  <c r="E45" i="4"/>
  <c r="K45" i="4" s="1"/>
  <c r="O49" i="4"/>
  <c r="L46" i="6" s="1"/>
  <c r="P49" i="4"/>
  <c r="H47" i="4"/>
  <c r="G46" i="4"/>
  <c r="I46" i="4" s="1"/>
  <c r="K45" i="6" l="1"/>
  <c r="N45" i="6"/>
  <c r="P45" i="6" s="1"/>
  <c r="F45" i="6"/>
  <c r="G45" i="6" s="1"/>
  <c r="F44" i="4"/>
  <c r="E44" i="4"/>
  <c r="K44" i="4" s="1"/>
  <c r="H46" i="4"/>
  <c r="G45" i="4"/>
  <c r="I45" i="4" s="1"/>
  <c r="O42" i="2"/>
  <c r="D43" i="4"/>
  <c r="L46" i="4"/>
  <c r="O48" i="4"/>
  <c r="L45" i="6" s="1"/>
  <c r="P48" i="4"/>
  <c r="N47" i="4"/>
  <c r="M47" i="4"/>
  <c r="M45" i="6" l="1"/>
  <c r="R45" i="6" s="1"/>
  <c r="N46" i="6"/>
  <c r="P46" i="6" s="1"/>
  <c r="F46" i="6"/>
  <c r="G46" i="6" s="1"/>
  <c r="K46" i="6"/>
  <c r="M46" i="6" s="1"/>
  <c r="R46" i="6" s="1"/>
  <c r="H45" i="4"/>
  <c r="O47" i="4"/>
  <c r="L44" i="6" s="1"/>
  <c r="M44" i="6" s="1"/>
  <c r="R44" i="6" s="1"/>
  <c r="P47" i="4"/>
  <c r="G44" i="4"/>
  <c r="I44" i="4" s="1"/>
  <c r="O41" i="2"/>
  <c r="D42" i="4"/>
  <c r="M46" i="4"/>
  <c r="N46" i="4"/>
  <c r="L45" i="4"/>
  <c r="E43" i="4"/>
  <c r="K43" i="4" s="1"/>
  <c r="F43" i="4"/>
  <c r="H44" i="4" l="1"/>
  <c r="N47" i="6"/>
  <c r="P47" i="6" s="1"/>
  <c r="F47" i="6"/>
  <c r="G47" i="6" s="1"/>
  <c r="K47" i="6"/>
  <c r="M47" i="6" s="1"/>
  <c r="R47" i="6" s="1"/>
  <c r="O46" i="4"/>
  <c r="L43" i="6" s="1"/>
  <c r="M43" i="6" s="1"/>
  <c r="R43" i="6" s="1"/>
  <c r="P46" i="4"/>
  <c r="L44" i="4"/>
  <c r="F42" i="4"/>
  <c r="E42" i="4"/>
  <c r="K42" i="4" s="1"/>
  <c r="G43" i="4"/>
  <c r="I43" i="4" s="1"/>
  <c r="N45" i="4"/>
  <c r="M45" i="4"/>
  <c r="O40" i="2"/>
  <c r="D41" i="4"/>
  <c r="K48" i="6" l="1"/>
  <c r="M48" i="6" s="1"/>
  <c r="R48" i="6" s="1"/>
  <c r="N48" i="6"/>
  <c r="P48" i="6" s="1"/>
  <c r="F48" i="6"/>
  <c r="G48" i="6" s="1"/>
  <c r="H43" i="4"/>
  <c r="O45" i="4"/>
  <c r="L42" i="6" s="1"/>
  <c r="M42" i="6" s="1"/>
  <c r="R42" i="6" s="1"/>
  <c r="P45" i="4"/>
  <c r="L43" i="4"/>
  <c r="N44" i="4"/>
  <c r="M44" i="4"/>
  <c r="F41" i="4"/>
  <c r="E41" i="4"/>
  <c r="K41" i="4" s="1"/>
  <c r="O39" i="2"/>
  <c r="D40" i="4"/>
  <c r="G42" i="4"/>
  <c r="I42" i="4" s="1"/>
  <c r="K49" i="6" l="1"/>
  <c r="M49" i="6" s="1"/>
  <c r="R49" i="6" s="1"/>
  <c r="F49" i="6"/>
  <c r="G49" i="6" s="1"/>
  <c r="N49" i="6"/>
  <c r="P49" i="6" s="1"/>
  <c r="H42" i="4"/>
  <c r="G41" i="4"/>
  <c r="I41" i="4" s="1"/>
  <c r="N43" i="4"/>
  <c r="M43" i="4"/>
  <c r="L42" i="4"/>
  <c r="E40" i="4"/>
  <c r="K40" i="4" s="1"/>
  <c r="F40" i="4"/>
  <c r="O38" i="2"/>
  <c r="D39" i="4"/>
  <c r="O44" i="4"/>
  <c r="L41" i="6" s="1"/>
  <c r="M41" i="6" s="1"/>
  <c r="R41" i="6" s="1"/>
  <c r="P44" i="4"/>
  <c r="O37" i="2" l="1"/>
  <c r="D38" i="4"/>
  <c r="O43" i="4"/>
  <c r="L40" i="6" s="1"/>
  <c r="M40" i="6" s="1"/>
  <c r="R40" i="6" s="1"/>
  <c r="P43" i="4"/>
  <c r="M42" i="4"/>
  <c r="N42" i="4"/>
  <c r="G40" i="4"/>
  <c r="I40" i="4" s="1"/>
  <c r="L41" i="4"/>
  <c r="F39" i="4"/>
  <c r="G39" i="4" s="1"/>
  <c r="E39" i="4"/>
  <c r="K39" i="4" s="1"/>
  <c r="H41" i="4"/>
  <c r="H40" i="4" l="1"/>
  <c r="H39" i="4"/>
  <c r="I39" i="4"/>
  <c r="L40" i="4"/>
  <c r="N41" i="4"/>
  <c r="M41" i="4"/>
  <c r="F38" i="4"/>
  <c r="E38" i="4"/>
  <c r="K38" i="4" s="1"/>
  <c r="O42" i="4"/>
  <c r="L39" i="6" s="1"/>
  <c r="M39" i="6" s="1"/>
  <c r="R39" i="6" s="1"/>
  <c r="P42" i="4"/>
  <c r="O36" i="2"/>
  <c r="D37" i="4"/>
  <c r="G38" i="4" l="1"/>
  <c r="I38" i="4" s="1"/>
  <c r="N40" i="4"/>
  <c r="M40" i="4"/>
  <c r="F37" i="4"/>
  <c r="E37" i="4"/>
  <c r="K37" i="4" s="1"/>
  <c r="O41" i="4"/>
  <c r="L38" i="6" s="1"/>
  <c r="M38" i="6" s="1"/>
  <c r="R38" i="6" s="1"/>
  <c r="P41" i="4"/>
  <c r="L39" i="4"/>
  <c r="O35" i="2"/>
  <c r="D36" i="4"/>
  <c r="O40" i="4" l="1"/>
  <c r="L37" i="6" s="1"/>
  <c r="M37" i="6" s="1"/>
  <c r="R37" i="6" s="1"/>
  <c r="P40" i="4"/>
  <c r="M39" i="4"/>
  <c r="N39" i="4"/>
  <c r="G37" i="4"/>
  <c r="I37" i="4" s="1"/>
  <c r="E36" i="4"/>
  <c r="K36" i="4" s="1"/>
  <c r="F36" i="4"/>
  <c r="H38" i="4"/>
  <c r="O34" i="2"/>
  <c r="D35" i="4"/>
  <c r="L38" i="4"/>
  <c r="O39" i="4" l="1"/>
  <c r="L36" i="6" s="1"/>
  <c r="M36" i="6" s="1"/>
  <c r="R36" i="6" s="1"/>
  <c r="P39" i="4"/>
  <c r="M38" i="4"/>
  <c r="N38" i="4"/>
  <c r="G36" i="4"/>
  <c r="I36" i="4" s="1"/>
  <c r="H37" i="4"/>
  <c r="O33" i="2"/>
  <c r="D34" i="4"/>
  <c r="E35" i="4"/>
  <c r="K35" i="4" s="1"/>
  <c r="F35" i="4"/>
  <c r="L37" i="4"/>
  <c r="G35" i="4" l="1"/>
  <c r="I35" i="4" s="1"/>
  <c r="O38" i="4"/>
  <c r="L35" i="6" s="1"/>
  <c r="M35" i="6" s="1"/>
  <c r="R35" i="6" s="1"/>
  <c r="P38" i="4"/>
  <c r="N37" i="4"/>
  <c r="M37" i="4"/>
  <c r="H36" i="4"/>
  <c r="O32" i="2"/>
  <c r="D33" i="4"/>
  <c r="F34" i="4"/>
  <c r="E34" i="4"/>
  <c r="K34" i="4" s="1"/>
  <c r="L36" i="4"/>
  <c r="N36" i="4" l="1"/>
  <c r="M36" i="4"/>
  <c r="G34" i="4"/>
  <c r="I34" i="4" s="1"/>
  <c r="F33" i="4"/>
  <c r="E33" i="4"/>
  <c r="K33" i="4" s="1"/>
  <c r="O31" i="2"/>
  <c r="D32" i="4"/>
  <c r="O37" i="4"/>
  <c r="L34" i="6" s="1"/>
  <c r="M34" i="6" s="1"/>
  <c r="R34" i="6" s="1"/>
  <c r="P37" i="4"/>
  <c r="H35" i="4"/>
  <c r="L35" i="4"/>
  <c r="H34" i="4" l="1"/>
  <c r="L34" i="4"/>
  <c r="O30" i="2"/>
  <c r="D31" i="4"/>
  <c r="M35" i="4"/>
  <c r="N35" i="4"/>
  <c r="O36" i="4"/>
  <c r="L33" i="6" s="1"/>
  <c r="M33" i="6" s="1"/>
  <c r="R33" i="6" s="1"/>
  <c r="P36" i="4"/>
  <c r="E32" i="4"/>
  <c r="K32" i="4" s="1"/>
  <c r="F32" i="4"/>
  <c r="G33" i="4"/>
  <c r="I33" i="4" s="1"/>
  <c r="G32" i="4" l="1"/>
  <c r="I32" i="4" s="1"/>
  <c r="O29" i="2"/>
  <c r="D30" i="4"/>
  <c r="L33" i="4"/>
  <c r="F31" i="4"/>
  <c r="G31" i="4" s="1"/>
  <c r="E31" i="4"/>
  <c r="K31" i="4" s="1"/>
  <c r="H33" i="4"/>
  <c r="O35" i="4"/>
  <c r="L32" i="6" s="1"/>
  <c r="M32" i="6" s="1"/>
  <c r="R32" i="6" s="1"/>
  <c r="P35" i="4"/>
  <c r="N34" i="4"/>
  <c r="M34" i="4"/>
  <c r="E30" i="4" l="1"/>
  <c r="K30" i="4" s="1"/>
  <c r="F30" i="4"/>
  <c r="O28" i="2"/>
  <c r="D29" i="4"/>
  <c r="O34" i="4"/>
  <c r="L31" i="6" s="1"/>
  <c r="M31" i="6" s="1"/>
  <c r="R31" i="6" s="1"/>
  <c r="P34" i="4"/>
  <c r="H32" i="4"/>
  <c r="H31" i="4"/>
  <c r="I31" i="4"/>
  <c r="M33" i="4"/>
  <c r="N33" i="4"/>
  <c r="L32" i="4"/>
  <c r="O33" i="4" l="1"/>
  <c r="L30" i="6" s="1"/>
  <c r="M30" i="6" s="1"/>
  <c r="R30" i="6" s="1"/>
  <c r="P33" i="4"/>
  <c r="F29" i="4"/>
  <c r="E29" i="4"/>
  <c r="K29" i="4" s="1"/>
  <c r="O27" i="2"/>
  <c r="D28" i="4"/>
  <c r="L31" i="4"/>
  <c r="N32" i="4"/>
  <c r="M32" i="4"/>
  <c r="G30" i="4"/>
  <c r="I30" i="4" s="1"/>
  <c r="H30" i="4" l="1"/>
  <c r="N31" i="4"/>
  <c r="M31" i="4"/>
  <c r="G29" i="4"/>
  <c r="I29" i="4" s="1"/>
  <c r="L30" i="4"/>
  <c r="O32" i="4"/>
  <c r="L29" i="6" s="1"/>
  <c r="M29" i="6" s="1"/>
  <c r="R29" i="6" s="1"/>
  <c r="P32" i="4"/>
  <c r="F28" i="4"/>
  <c r="E28" i="4"/>
  <c r="K28" i="4" s="1"/>
  <c r="O26" i="2"/>
  <c r="D27" i="4"/>
  <c r="H29" i="4" l="1"/>
  <c r="O25" i="2"/>
  <c r="D26" i="4"/>
  <c r="L29" i="4"/>
  <c r="E27" i="4"/>
  <c r="K27" i="4" s="1"/>
  <c r="F27" i="4"/>
  <c r="O31" i="4"/>
  <c r="L28" i="6" s="1"/>
  <c r="M28" i="6" s="1"/>
  <c r="R28" i="6" s="1"/>
  <c r="P31" i="4"/>
  <c r="G28" i="4"/>
  <c r="I28" i="4" s="1"/>
  <c r="N30" i="4"/>
  <c r="M30" i="4"/>
  <c r="L28" i="4" l="1"/>
  <c r="N29" i="4"/>
  <c r="M29" i="4"/>
  <c r="H28" i="4"/>
  <c r="O30" i="4"/>
  <c r="L27" i="6" s="1"/>
  <c r="M27" i="6" s="1"/>
  <c r="R27" i="6" s="1"/>
  <c r="P30" i="4"/>
  <c r="G27" i="4"/>
  <c r="I27" i="4" s="1"/>
  <c r="F26" i="4"/>
  <c r="E26" i="4"/>
  <c r="K26" i="4" s="1"/>
  <c r="O24" i="2"/>
  <c r="D25" i="4"/>
  <c r="L27" i="4" l="1"/>
  <c r="E25" i="4"/>
  <c r="K25" i="4" s="1"/>
  <c r="F25" i="4"/>
  <c r="O23" i="2"/>
  <c r="D24" i="4"/>
  <c r="O29" i="4"/>
  <c r="L26" i="6" s="1"/>
  <c r="M26" i="6" s="1"/>
  <c r="R26" i="6" s="1"/>
  <c r="P29" i="4"/>
  <c r="G26" i="4"/>
  <c r="I26" i="4" s="1"/>
  <c r="H27" i="4"/>
  <c r="N28" i="4"/>
  <c r="M28" i="4"/>
  <c r="H26" i="4" l="1"/>
  <c r="G25" i="4"/>
  <c r="I25" i="4" s="1"/>
  <c r="L26" i="4"/>
  <c r="O28" i="4"/>
  <c r="L25" i="6" s="1"/>
  <c r="M25" i="6" s="1"/>
  <c r="R25" i="6" s="1"/>
  <c r="P28" i="4"/>
  <c r="E24" i="4"/>
  <c r="K24" i="4" s="1"/>
  <c r="F24" i="4"/>
  <c r="O22" i="2"/>
  <c r="D23" i="4"/>
  <c r="M27" i="4"/>
  <c r="N27" i="4"/>
  <c r="E23" i="4" l="1"/>
  <c r="K23" i="4" s="1"/>
  <c r="F23" i="4"/>
  <c r="O21" i="2"/>
  <c r="D22" i="4"/>
  <c r="M26" i="4"/>
  <c r="N26" i="4"/>
  <c r="G24" i="4"/>
  <c r="I24" i="4" s="1"/>
  <c r="H25" i="4"/>
  <c r="O27" i="4"/>
  <c r="L24" i="6" s="1"/>
  <c r="M24" i="6" s="1"/>
  <c r="R24" i="6" s="1"/>
  <c r="P27" i="4"/>
  <c r="L25" i="4"/>
  <c r="H24" i="4" l="1"/>
  <c r="L24" i="4"/>
  <c r="O20" i="2"/>
  <c r="D21" i="4"/>
  <c r="F22" i="4"/>
  <c r="E22" i="4"/>
  <c r="K22" i="4" s="1"/>
  <c r="N25" i="4"/>
  <c r="M25" i="4"/>
  <c r="G23" i="4"/>
  <c r="I23" i="4" s="1"/>
  <c r="O26" i="4"/>
  <c r="L23" i="6" s="1"/>
  <c r="M23" i="6" s="1"/>
  <c r="R23" i="6" s="1"/>
  <c r="P26" i="4"/>
  <c r="O25" i="4" l="1"/>
  <c r="L22" i="6" s="1"/>
  <c r="M22" i="6" s="1"/>
  <c r="R22" i="6" s="1"/>
  <c r="P25" i="4"/>
  <c r="O19" i="2"/>
  <c r="D20" i="4"/>
  <c r="L23" i="4"/>
  <c r="F21" i="4"/>
  <c r="E21" i="4"/>
  <c r="K21" i="4" s="1"/>
  <c r="H23" i="4"/>
  <c r="G22" i="4"/>
  <c r="I22" i="4" s="1"/>
  <c r="M24" i="4"/>
  <c r="N24" i="4"/>
  <c r="G21" i="4" l="1"/>
  <c r="I21" i="4" s="1"/>
  <c r="O18" i="2"/>
  <c r="D19" i="4"/>
  <c r="O24" i="4"/>
  <c r="L21" i="6" s="1"/>
  <c r="M21" i="6" s="1"/>
  <c r="R21" i="6" s="1"/>
  <c r="P24" i="4"/>
  <c r="L22" i="4"/>
  <c r="E20" i="4"/>
  <c r="K20" i="4" s="1"/>
  <c r="F20" i="4"/>
  <c r="H22" i="4"/>
  <c r="M23" i="4"/>
  <c r="N23" i="4"/>
  <c r="N22" i="4" l="1"/>
  <c r="M22" i="4"/>
  <c r="G20" i="4"/>
  <c r="I20" i="4" s="1"/>
  <c r="O17" i="2"/>
  <c r="D18" i="4"/>
  <c r="F19" i="4"/>
  <c r="E19" i="4"/>
  <c r="K19" i="4" s="1"/>
  <c r="H21" i="4"/>
  <c r="O23" i="4"/>
  <c r="L20" i="6" s="1"/>
  <c r="M20" i="6" s="1"/>
  <c r="R20" i="6" s="1"/>
  <c r="P23" i="4"/>
  <c r="L21" i="4"/>
  <c r="H20" i="4" l="1"/>
  <c r="G19" i="4"/>
  <c r="I19" i="4" s="1"/>
  <c r="L20" i="4"/>
  <c r="M21" i="4"/>
  <c r="N21" i="4"/>
  <c r="F18" i="4"/>
  <c r="E18" i="4"/>
  <c r="K18" i="4" s="1"/>
  <c r="O22" i="4"/>
  <c r="L19" i="6" s="1"/>
  <c r="M19" i="6" s="1"/>
  <c r="R19" i="6" s="1"/>
  <c r="P22" i="4"/>
  <c r="O16" i="2"/>
  <c r="D17" i="4"/>
  <c r="H19" i="4" l="1"/>
  <c r="O15" i="2"/>
  <c r="D16" i="4"/>
  <c r="O21" i="4"/>
  <c r="L18" i="6" s="1"/>
  <c r="M18" i="6" s="1"/>
  <c r="R18" i="6" s="1"/>
  <c r="P21" i="4"/>
  <c r="L19" i="4"/>
  <c r="F17" i="4"/>
  <c r="G17" i="4" s="1"/>
  <c r="E17" i="4"/>
  <c r="K17" i="4" s="1"/>
  <c r="G18" i="4"/>
  <c r="I18" i="4" s="1"/>
  <c r="N20" i="4"/>
  <c r="M20" i="4"/>
  <c r="H18" i="4" l="1"/>
  <c r="H17" i="4"/>
  <c r="I17" i="4"/>
  <c r="L18" i="4"/>
  <c r="O20" i="4"/>
  <c r="L17" i="6" s="1"/>
  <c r="M17" i="6" s="1"/>
  <c r="R17" i="6" s="1"/>
  <c r="P20" i="4"/>
  <c r="E16" i="4"/>
  <c r="K16" i="4" s="1"/>
  <c r="F16" i="4"/>
  <c r="M19" i="4"/>
  <c r="N19" i="4"/>
  <c r="O14" i="2"/>
  <c r="D15" i="4"/>
  <c r="O19" i="4" l="1"/>
  <c r="L16" i="6" s="1"/>
  <c r="M16" i="6" s="1"/>
  <c r="R16" i="6" s="1"/>
  <c r="P19" i="4"/>
  <c r="L17" i="4"/>
  <c r="E15" i="4"/>
  <c r="K15" i="4" s="1"/>
  <c r="F15" i="4"/>
  <c r="G16" i="4"/>
  <c r="I16" i="4" s="1"/>
  <c r="O13" i="2"/>
  <c r="D14" i="4"/>
  <c r="M18" i="4"/>
  <c r="N18" i="4"/>
  <c r="H16" i="4" l="1"/>
  <c r="L16" i="4"/>
  <c r="M17" i="4"/>
  <c r="N17" i="4"/>
  <c r="F14" i="4"/>
  <c r="E14" i="4"/>
  <c r="K14" i="4" s="1"/>
  <c r="G15" i="4"/>
  <c r="I15" i="4" s="1"/>
  <c r="O18" i="4"/>
  <c r="L15" i="6" s="1"/>
  <c r="M15" i="6" s="1"/>
  <c r="R15" i="6" s="1"/>
  <c r="P18" i="4"/>
  <c r="O12" i="2"/>
  <c r="D13" i="4"/>
  <c r="H15" i="4" l="1"/>
  <c r="L15" i="4"/>
  <c r="O17" i="4"/>
  <c r="L14" i="6" s="1"/>
  <c r="M14" i="6" s="1"/>
  <c r="R14" i="6" s="1"/>
  <c r="P17" i="4"/>
  <c r="E13" i="4"/>
  <c r="K13" i="4" s="1"/>
  <c r="F13" i="4"/>
  <c r="O11" i="2"/>
  <c r="D12" i="4"/>
  <c r="G14" i="4"/>
  <c r="I14" i="4" s="1"/>
  <c r="N16" i="4"/>
  <c r="M16" i="4"/>
  <c r="H14" i="4" l="1"/>
  <c r="O10" i="2"/>
  <c r="D11" i="4"/>
  <c r="O16" i="4"/>
  <c r="L13" i="6" s="1"/>
  <c r="M13" i="6" s="1"/>
  <c r="R13" i="6" s="1"/>
  <c r="P16" i="4"/>
  <c r="E12" i="4"/>
  <c r="K12" i="4" s="1"/>
  <c r="F12" i="4"/>
  <c r="L14" i="4"/>
  <c r="G13" i="4"/>
  <c r="I13" i="4" s="1"/>
  <c r="M15" i="4"/>
  <c r="N15" i="4"/>
  <c r="H13" i="4" l="1"/>
  <c r="G12" i="4"/>
  <c r="I12" i="4" s="1"/>
  <c r="F11" i="4"/>
  <c r="E11" i="4"/>
  <c r="K11" i="4" s="1"/>
  <c r="N14" i="4"/>
  <c r="M14" i="4"/>
  <c r="O15" i="4"/>
  <c r="L12" i="6" s="1"/>
  <c r="M12" i="6" s="1"/>
  <c r="R12" i="6" s="1"/>
  <c r="P15" i="4"/>
  <c r="L13" i="4"/>
  <c r="O9" i="2"/>
  <c r="D10" i="4"/>
  <c r="G11" i="4" l="1"/>
  <c r="I11" i="4" s="1"/>
  <c r="F10" i="4"/>
  <c r="E10" i="4"/>
  <c r="K10" i="4" s="1"/>
  <c r="O14" i="4"/>
  <c r="L11" i="6" s="1"/>
  <c r="M11" i="6" s="1"/>
  <c r="R11" i="6" s="1"/>
  <c r="P14" i="4"/>
  <c r="H12" i="4"/>
  <c r="O8" i="2"/>
  <c r="D9" i="4"/>
  <c r="M13" i="4"/>
  <c r="N13" i="4"/>
  <c r="L12" i="4"/>
  <c r="G10" i="4" l="1"/>
  <c r="I10" i="4" s="1"/>
  <c r="F9" i="4"/>
  <c r="G9" i="4" s="1"/>
  <c r="E9" i="4"/>
  <c r="K9" i="4" s="1"/>
  <c r="O13" i="4"/>
  <c r="L10" i="6" s="1"/>
  <c r="M10" i="6" s="1"/>
  <c r="R10" i="6" s="1"/>
  <c r="P13" i="4"/>
  <c r="N12" i="4"/>
  <c r="M12" i="4"/>
  <c r="O7" i="2"/>
  <c r="D7" i="4" s="1"/>
  <c r="D8" i="4"/>
  <c r="H11" i="4"/>
  <c r="L11" i="4"/>
  <c r="H9" i="4" l="1"/>
  <c r="I9" i="4"/>
  <c r="O12" i="4"/>
  <c r="L9" i="6" s="1"/>
  <c r="M9" i="6" s="1"/>
  <c r="R9" i="6" s="1"/>
  <c r="P12" i="4"/>
  <c r="M11" i="4"/>
  <c r="N11" i="4"/>
  <c r="E8" i="4"/>
  <c r="K8" i="4" s="1"/>
  <c r="F8" i="4"/>
  <c r="H10" i="4"/>
  <c r="F7" i="4"/>
  <c r="E7" i="4"/>
  <c r="K7" i="4" s="1"/>
  <c r="L10" i="4"/>
  <c r="O11" i="4" l="1"/>
  <c r="L8" i="6" s="1"/>
  <c r="M8" i="6" s="1"/>
  <c r="R8" i="6" s="1"/>
  <c r="P11" i="4"/>
  <c r="I7" i="4"/>
  <c r="L9" i="4"/>
  <c r="N10" i="4"/>
  <c r="M10" i="4"/>
  <c r="G8" i="4"/>
  <c r="I8" i="4" s="1"/>
  <c r="H7" i="4" l="1"/>
  <c r="O10" i="4"/>
  <c r="L7" i="6" s="1"/>
  <c r="M7" i="6" s="1"/>
  <c r="R7" i="6" s="1"/>
  <c r="P10" i="4"/>
  <c r="L7" i="4"/>
  <c r="H8" i="4"/>
  <c r="L8" i="4"/>
  <c r="N9" i="4"/>
  <c r="M9" i="4"/>
  <c r="M7" i="4" l="1"/>
  <c r="N7" i="4"/>
  <c r="M8" i="4"/>
  <c r="N8" i="4"/>
  <c r="O9" i="4"/>
  <c r="L6" i="6" s="1"/>
  <c r="M6" i="6" s="1"/>
  <c r="R6" i="6" s="1"/>
  <c r="P9" i="4"/>
  <c r="O8" i="4" l="1"/>
  <c r="L5" i="6" s="1"/>
  <c r="M5" i="6" s="1"/>
  <c r="R5" i="6" s="1"/>
  <c r="P8" i="4"/>
  <c r="O7" i="4"/>
  <c r="L4" i="6" s="1"/>
  <c r="P7" i="4"/>
  <c r="K4" i="6"/>
  <c r="M4" i="6" s="1"/>
  <c r="R4" i="6" s="1"/>
  <c r="F4" i="6"/>
  <c r="N4" i="6"/>
  <c r="P4" i="6" s="1"/>
</calcChain>
</file>

<file path=xl/sharedStrings.xml><?xml version="1.0" encoding="utf-8"?>
<sst xmlns="http://schemas.openxmlformats.org/spreadsheetml/2006/main" count="598" uniqueCount="254">
  <si>
    <t>Rabi Season</t>
  </si>
  <si>
    <t>Wheat</t>
  </si>
  <si>
    <t>SugarCane</t>
  </si>
  <si>
    <t>Grams</t>
  </si>
  <si>
    <t>Orchards</t>
  </si>
  <si>
    <t>Fooder</t>
  </si>
  <si>
    <t>Crop</t>
  </si>
  <si>
    <t xml:space="preserve">Crop Period </t>
  </si>
  <si>
    <t>Intensity of Cropping</t>
  </si>
  <si>
    <t xml:space="preserve"> -</t>
  </si>
  <si>
    <t>February-December</t>
  </si>
  <si>
    <t>November-March</t>
  </si>
  <si>
    <t>October-December</t>
  </si>
  <si>
    <t>Rice</t>
  </si>
  <si>
    <t>Corn</t>
  </si>
  <si>
    <t>Cotton</t>
  </si>
  <si>
    <t>June-October</t>
  </si>
  <si>
    <t>April-September</t>
  </si>
  <si>
    <t>May-September</t>
  </si>
  <si>
    <t>Cropped Area</t>
  </si>
  <si>
    <t>Volume</t>
  </si>
  <si>
    <t>Kharif Season</t>
  </si>
  <si>
    <t>Total Volume</t>
  </si>
  <si>
    <t>Kc</t>
  </si>
  <si>
    <t>Epan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</si>
  <si>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</si>
  <si>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</si>
  <si>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</si>
  <si>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</si>
  <si>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</si>
  <si>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</si>
  <si>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</si>
  <si>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</si>
  <si>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</si>
  <si>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</si>
  <si>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</si>
  <si>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</si>
  <si>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Ep</t>
  </si>
  <si>
    <t>CCA</t>
  </si>
  <si>
    <t>Time</t>
  </si>
  <si>
    <t>Sec</t>
  </si>
  <si>
    <t>Total Days in Rabi Season</t>
  </si>
  <si>
    <t>Design Discharge</t>
  </si>
  <si>
    <t>RD</t>
  </si>
  <si>
    <t>OutLet Number</t>
  </si>
  <si>
    <t>Discharge</t>
  </si>
  <si>
    <t>Total Discharge</t>
  </si>
  <si>
    <t>Cummulative Discharge</t>
  </si>
  <si>
    <t>Acre</t>
  </si>
  <si>
    <t>Cusecs</t>
  </si>
  <si>
    <t>Acre-Feet</t>
  </si>
  <si>
    <t>Area</t>
  </si>
  <si>
    <t>in</t>
  </si>
  <si>
    <r>
      <t>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</si>
  <si>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</si>
  <si>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</si>
  <si>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</si>
  <si>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</si>
  <si>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</si>
  <si>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5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</si>
  <si>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5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</si>
  <si>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6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</si>
  <si>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6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</si>
  <si>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7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</si>
  <si>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7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</si>
  <si>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8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</si>
  <si>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8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</si>
  <si>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</si>
  <si>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</si>
  <si>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10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</si>
  <si>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10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</si>
  <si>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</t>
    </r>
  </si>
  <si>
    <r>
      <t>R</t>
    </r>
    <r>
      <rPr>
        <vertAlign val="subscript"/>
        <sz val="11"/>
        <color theme="1"/>
        <rFont val="Times New Roman"/>
        <family val="1"/>
      </rPr>
      <t>1</t>
    </r>
  </si>
  <si>
    <t>Wetted Perimeter</t>
  </si>
  <si>
    <t>Hydraulic Radius</t>
  </si>
  <si>
    <t>a</t>
  </si>
  <si>
    <t>b</t>
  </si>
  <si>
    <t>c</t>
  </si>
  <si>
    <t>Depth</t>
  </si>
  <si>
    <t>Width</t>
  </si>
  <si>
    <t>ft</t>
  </si>
  <si>
    <t>Length of Water Course</t>
  </si>
  <si>
    <t>Water Level in Water Course</t>
  </si>
  <si>
    <t>Slope</t>
  </si>
  <si>
    <t>Water Level in minor</t>
  </si>
  <si>
    <t>Required bed level in Canal</t>
  </si>
  <si>
    <t>Natural Soil Level</t>
  </si>
  <si>
    <t>NSL</t>
  </si>
  <si>
    <t>Change in length</t>
  </si>
  <si>
    <t>BL:</t>
  </si>
  <si>
    <t>Depth of Water in minor</t>
  </si>
  <si>
    <t>Season</t>
  </si>
  <si>
    <t>Days</t>
  </si>
  <si>
    <t>cm</t>
  </si>
  <si>
    <t>Delta</t>
  </si>
  <si>
    <t>Months</t>
  </si>
  <si>
    <t>Reach Loss=0.0133LQ^0.5625</t>
  </si>
  <si>
    <t>Sr. #</t>
  </si>
  <si>
    <t>Tail Level of W.C</t>
  </si>
  <si>
    <t>Etc</t>
  </si>
  <si>
    <t>Barley</t>
  </si>
  <si>
    <t>(%)</t>
  </si>
  <si>
    <t>eff.PPT</t>
  </si>
  <si>
    <t>Total volume</t>
  </si>
  <si>
    <t>Total Days in Kharif Season</t>
  </si>
  <si>
    <t>ft3/s</t>
  </si>
  <si>
    <t>Qr</t>
  </si>
  <si>
    <t>Cusecs/1000Acres</t>
  </si>
  <si>
    <t>WARABANDI</t>
  </si>
  <si>
    <t>Prceeding Nakka</t>
  </si>
  <si>
    <t>Following Nakka</t>
  </si>
  <si>
    <t>Ending</t>
  </si>
  <si>
    <t>From</t>
  </si>
  <si>
    <t>To</t>
  </si>
  <si>
    <t>Starting</t>
  </si>
  <si>
    <t>Area of farmer's field</t>
  </si>
  <si>
    <t>20% effective Ep</t>
  </si>
  <si>
    <t>Given Data</t>
  </si>
  <si>
    <r>
      <t>ft</t>
    </r>
    <r>
      <rPr>
        <b/>
        <vertAlign val="superscript"/>
        <sz val="12"/>
        <color theme="1"/>
        <rFont val="Times New Roman"/>
        <family val="1"/>
      </rPr>
      <t>3</t>
    </r>
  </si>
  <si>
    <t>Required Discharge in Both Seasons</t>
  </si>
  <si>
    <t>*Acre -ft to ft3 conversion = 1 Acre ft = 43560 ft3</t>
  </si>
  <si>
    <t>Volume*</t>
  </si>
  <si>
    <t>Description</t>
  </si>
  <si>
    <t>Values</t>
  </si>
  <si>
    <t>Units</t>
  </si>
  <si>
    <t>Field losses (5%)</t>
  </si>
  <si>
    <t>Water Allowance*</t>
  </si>
  <si>
    <t>CCA of each Outlet**</t>
  </si>
  <si>
    <t>Number of Outlets***</t>
  </si>
  <si>
    <t>acres</t>
  </si>
  <si>
    <t>Water course capacity =</t>
  </si>
  <si>
    <t>Water course capacity, Qd</t>
  </si>
  <si>
    <r>
      <t>L</t>
    </r>
    <r>
      <rPr>
        <vertAlign val="subscript"/>
        <sz val="11"/>
        <color theme="1"/>
        <rFont val="Times New Roman"/>
        <family val="1"/>
      </rPr>
      <t>11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</si>
  <si>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11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</si>
  <si>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12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</si>
  <si>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12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</si>
  <si>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13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</si>
  <si>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13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</si>
  <si>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14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</si>
  <si>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14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</si>
  <si>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15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</si>
  <si>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15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</si>
  <si>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16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</si>
  <si>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16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</si>
  <si>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17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</si>
  <si>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17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</si>
  <si>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</si>
  <si>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</si>
  <si>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19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</si>
  <si>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19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</si>
  <si>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</si>
  <si>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</si>
  <si>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21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</si>
  <si>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21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</si>
  <si>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</si>
  <si>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2"/>
      </rPr>
      <t/>
    </r>
  </si>
  <si>
    <r>
      <t>L</t>
    </r>
    <r>
      <rPr>
        <vertAlign val="subscript"/>
        <sz val="11"/>
        <color theme="1"/>
        <rFont val="Times New Roman"/>
        <family val="1"/>
      </rPr>
      <t>23</t>
    </r>
    <r>
      <rPr>
        <sz val="11"/>
        <color theme="1"/>
        <rFont val="Times New Roman"/>
        <family val="2"/>
      </rPr>
      <t/>
    </r>
  </si>
  <si>
    <r>
      <t>R</t>
    </r>
    <r>
      <rPr>
        <vertAlign val="subscript"/>
        <sz val="11"/>
        <color theme="1"/>
        <rFont val="Times New Roman"/>
        <family val="1"/>
      </rPr>
      <t>23</t>
    </r>
    <r>
      <rPr>
        <sz val="11"/>
        <color theme="1"/>
        <rFont val="Times New Roman"/>
        <family val="2"/>
      </rPr>
      <t/>
    </r>
  </si>
  <si>
    <t>1000 ft</t>
  </si>
  <si>
    <t>Outlet discharge</t>
  </si>
  <si>
    <t>Cumulative discharge</t>
  </si>
  <si>
    <t>Sr No.</t>
  </si>
  <si>
    <t>Water allowance=</t>
  </si>
  <si>
    <t>Land irrigated by 3 cusecs=</t>
  </si>
  <si>
    <t>Silt factor</t>
  </si>
  <si>
    <t>S=</t>
  </si>
  <si>
    <t>Velocity</t>
  </si>
  <si>
    <t>ft/s</t>
  </si>
  <si>
    <t>Side slope=</t>
  </si>
  <si>
    <t>0.5H:1V</t>
  </si>
  <si>
    <t>Z=</t>
  </si>
  <si>
    <t>Design depth</t>
  </si>
  <si>
    <t>MINOR CANAL DESIGN</t>
  </si>
  <si>
    <r>
      <t>ft</t>
    </r>
    <r>
      <rPr>
        <b/>
        <vertAlign val="superscript"/>
        <sz val="12"/>
        <color theme="1"/>
        <rFont val="Times New Roman"/>
        <family val="1"/>
      </rPr>
      <t>2</t>
    </r>
  </si>
  <si>
    <t>499+01</t>
  </si>
  <si>
    <t>632+08</t>
  </si>
  <si>
    <t>543+37</t>
  </si>
  <si>
    <t>765+15</t>
  </si>
  <si>
    <t>986+94</t>
  </si>
  <si>
    <t>587+72</t>
  </si>
  <si>
    <t>676+44</t>
  </si>
  <si>
    <t>720+80</t>
  </si>
  <si>
    <t>809+51</t>
  </si>
  <si>
    <t>853+87</t>
  </si>
  <si>
    <t>898+22</t>
  </si>
  <si>
    <t>942+58</t>
  </si>
  <si>
    <t>103+129</t>
  </si>
  <si>
    <t>107+565</t>
  </si>
  <si>
    <t>112+001</t>
  </si>
  <si>
    <t>116+437</t>
  </si>
  <si>
    <t>120+872</t>
  </si>
  <si>
    <t>125+308</t>
  </si>
  <si>
    <t>129+744</t>
  </si>
  <si>
    <t>134+179</t>
  </si>
  <si>
    <t>138+615</t>
  </si>
  <si>
    <t>143+051</t>
  </si>
  <si>
    <t>147+486</t>
  </si>
  <si>
    <t>Length of each water course=</t>
  </si>
  <si>
    <t>2 Km</t>
  </si>
  <si>
    <t>6561.67ft</t>
  </si>
  <si>
    <t>COMMAND STATEMENT</t>
  </si>
  <si>
    <t>Length of outlet</t>
  </si>
  <si>
    <t>in 1000 ft</t>
  </si>
  <si>
    <t>hrs</t>
  </si>
  <si>
    <t>Name of Owner</t>
  </si>
  <si>
    <t>A</t>
  </si>
  <si>
    <t>B</t>
  </si>
  <si>
    <t>C</t>
  </si>
  <si>
    <t>OutLet Name</t>
  </si>
  <si>
    <t>D</t>
  </si>
  <si>
    <t>E</t>
  </si>
  <si>
    <t>F</t>
  </si>
  <si>
    <t>G</t>
  </si>
  <si>
    <t>H</t>
  </si>
  <si>
    <t>I</t>
  </si>
  <si>
    <t>J</t>
  </si>
  <si>
    <t xml:space="preserve">Area irrigated by each Water course= </t>
  </si>
  <si>
    <t>arces</t>
  </si>
  <si>
    <t>hrs/acre</t>
  </si>
  <si>
    <t>Total</t>
  </si>
  <si>
    <t>Time of filling (Tf)</t>
  </si>
  <si>
    <t>Time of drain (Td)</t>
  </si>
  <si>
    <t xml:space="preserve">Warabandi velocity = </t>
  </si>
  <si>
    <t>l1</t>
  </si>
  <si>
    <t>r1</t>
  </si>
  <si>
    <t>l2</t>
  </si>
  <si>
    <t>r2</t>
  </si>
  <si>
    <t>l3</t>
  </si>
  <si>
    <t>r3</t>
  </si>
  <si>
    <t>l4</t>
  </si>
  <si>
    <t>r4</t>
  </si>
  <si>
    <t>l5</t>
  </si>
  <si>
    <t>r5</t>
  </si>
  <si>
    <t>none</t>
  </si>
  <si>
    <t>ft/hr</t>
  </si>
  <si>
    <t>min</t>
  </si>
  <si>
    <t>time</t>
  </si>
  <si>
    <t>Length of warabandi</t>
  </si>
  <si>
    <t xml:space="preserve">Monday </t>
  </si>
  <si>
    <t>Monday</t>
  </si>
  <si>
    <t>Wednesday</t>
  </si>
  <si>
    <t>Thursday</t>
  </si>
  <si>
    <t>thursday</t>
  </si>
  <si>
    <t>Friday</t>
  </si>
  <si>
    <t>Saturday</t>
  </si>
  <si>
    <t>saturday</t>
  </si>
  <si>
    <t>Sunday</t>
  </si>
  <si>
    <t>monday</t>
  </si>
  <si>
    <t>Unit irrigation time (Tu)*</t>
  </si>
  <si>
    <t>Farmer's warabandi turn time (Tt)**</t>
  </si>
  <si>
    <t>Total Discharge required(Qt)</t>
  </si>
  <si>
    <t>CAPACITY STATEMENT for MINOR</t>
  </si>
  <si>
    <t>CCA of each outlet</t>
  </si>
  <si>
    <t>Head Level of 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</si>
</sst>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vertAlign val="subscript"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8"/>
      <color theme="1"/>
      <name val="Times New Roman"/>
      <family val="2"/>
    </font>
    <font>
      <sz val="11"/>
      <color theme="1"/>
      <name val="Magneto"/>
      <family val="5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" fontId="8" fillId="0" borderId="10" xfId="0" applyNumberFormat="1" applyFont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8" fontId="0" fillId="0" borderId="0" xfId="0" applyNumberFormat="1" applyBorder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8" fontId="1" fillId="0" borderId="1" xfId="0" applyNumberFormat="1" applyFont="1" applyBorder="1" applyAlignment="1">
      <alignment horizontal="center"/>
    </xf>
    <xf numFmtId="18" fontId="0" fillId="0" borderId="1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8" fontId="0" fillId="0" borderId="10" xfId="0" applyNumberFormat="1" applyBorder="1" applyAlignment="1">
      <alignment horizontal="center"/>
    </xf>
    <xf numFmtId="0" fontId="6" fillId="5" borderId="14" xfId="0" applyFont="1" applyFill="1" applyBorder="1" applyAlignment="1"/>
    <xf numFmtId="0" fontId="6" fillId="5" borderId="32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3" borderId="18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left"/>
    </xf>
    <xf numFmtId="0" fontId="6" fillId="5" borderId="25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CAPACITY STATEMENT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CAPACITY STATEMENT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'Capacity Statememnt'!$G$7:$G$52</c:f>
              <c:numCache>
                <c:formatCode>0.00</c:formatCode>
                <c:ptCount val="46"/>
                <c:pt idx="0">
                  <c:v>49.901574999999994</c:v>
                </c:pt>
                <c:pt idx="1">
                  <c:v>49.901574999999994</c:v>
                </c:pt>
                <c:pt idx="2">
                  <c:v>54.337274999999991</c:v>
                </c:pt>
                <c:pt idx="3">
                  <c:v>54.337274999999991</c:v>
                </c:pt>
                <c:pt idx="4">
                  <c:v>58.772974999999995</c:v>
                </c:pt>
                <c:pt idx="5">
                  <c:v>58.772974999999995</c:v>
                </c:pt>
                <c:pt idx="6">
                  <c:v>63.208674999999992</c:v>
                </c:pt>
                <c:pt idx="7">
                  <c:v>63.208674999999992</c:v>
                </c:pt>
                <c:pt idx="8">
                  <c:v>67.644374999999997</c:v>
                </c:pt>
                <c:pt idx="9">
                  <c:v>67.644374999999997</c:v>
                </c:pt>
                <c:pt idx="10">
                  <c:v>72.080074999999994</c:v>
                </c:pt>
                <c:pt idx="11">
                  <c:v>72.080074999999994</c:v>
                </c:pt>
                <c:pt idx="12">
                  <c:v>76.515774999999991</c:v>
                </c:pt>
                <c:pt idx="13">
                  <c:v>76.515774999999991</c:v>
                </c:pt>
                <c:pt idx="14">
                  <c:v>80.951475000000002</c:v>
                </c:pt>
                <c:pt idx="15">
                  <c:v>80.951475000000002</c:v>
                </c:pt>
                <c:pt idx="16">
                  <c:v>85.387174999999985</c:v>
                </c:pt>
                <c:pt idx="17">
                  <c:v>85.387174999999985</c:v>
                </c:pt>
                <c:pt idx="18">
                  <c:v>89.822874999999996</c:v>
                </c:pt>
                <c:pt idx="19">
                  <c:v>89.822874999999996</c:v>
                </c:pt>
                <c:pt idx="20">
                  <c:v>94.258574999999993</c:v>
                </c:pt>
                <c:pt idx="21">
                  <c:v>94.258574999999993</c:v>
                </c:pt>
                <c:pt idx="22">
                  <c:v>98.69427499999999</c:v>
                </c:pt>
                <c:pt idx="23">
                  <c:v>98.69427499999999</c:v>
                </c:pt>
                <c:pt idx="24">
                  <c:v>103.129975</c:v>
                </c:pt>
                <c:pt idx="25">
                  <c:v>103.129975</c:v>
                </c:pt>
                <c:pt idx="26">
                  <c:v>107.56567499999998</c:v>
                </c:pt>
                <c:pt idx="27">
                  <c:v>107.56567499999998</c:v>
                </c:pt>
                <c:pt idx="28">
                  <c:v>112.001375</c:v>
                </c:pt>
                <c:pt idx="29">
                  <c:v>112.001375</c:v>
                </c:pt>
                <c:pt idx="30">
                  <c:v>116.43707499999999</c:v>
                </c:pt>
                <c:pt idx="31">
                  <c:v>116.43707499999999</c:v>
                </c:pt>
                <c:pt idx="32">
                  <c:v>120.87277499999999</c:v>
                </c:pt>
                <c:pt idx="33">
                  <c:v>120.87277499999999</c:v>
                </c:pt>
                <c:pt idx="34">
                  <c:v>125.30847499999999</c:v>
                </c:pt>
                <c:pt idx="35">
                  <c:v>125.30847499999999</c:v>
                </c:pt>
                <c:pt idx="36">
                  <c:v>129.74417500000001</c:v>
                </c:pt>
                <c:pt idx="37">
                  <c:v>129.74417500000001</c:v>
                </c:pt>
                <c:pt idx="38">
                  <c:v>134.17987500000001</c:v>
                </c:pt>
                <c:pt idx="39">
                  <c:v>134.17987500000001</c:v>
                </c:pt>
                <c:pt idx="40">
                  <c:v>138.61557500000001</c:v>
                </c:pt>
                <c:pt idx="41">
                  <c:v>138.61557500000001</c:v>
                </c:pt>
                <c:pt idx="42">
                  <c:v>143.051275</c:v>
                </c:pt>
                <c:pt idx="43">
                  <c:v>143.051275</c:v>
                </c:pt>
                <c:pt idx="44">
                  <c:v>147.48697499999997</c:v>
                </c:pt>
                <c:pt idx="45">
                  <c:v>147.48697499999997</c:v>
                </c:pt>
              </c:numCache>
            </c:numRef>
          </c:xVal>
          <c:yVal>
            <c:numRef>
              <c:f>'Capacity Statememnt'!$O$7:$O$52</c:f>
              <c:numCache>
                <c:formatCode>0.000</c:formatCode>
                <c:ptCount val="46"/>
                <c:pt idx="0">
                  <c:v>175.93047974031597</c:v>
                </c:pt>
                <c:pt idx="1">
                  <c:v>175.93047974031597</c:v>
                </c:pt>
                <c:pt idx="2">
                  <c:v>167.1749191950752</c:v>
                </c:pt>
                <c:pt idx="3">
                  <c:v>167.1749191950752</c:v>
                </c:pt>
                <c:pt idx="4">
                  <c:v>158.48893207955336</c:v>
                </c:pt>
                <c:pt idx="5">
                  <c:v>158.48893207955336</c:v>
                </c:pt>
                <c:pt idx="6">
                  <c:v>149.87394927020765</c:v>
                </c:pt>
                <c:pt idx="7">
                  <c:v>149.87394927020765</c:v>
                </c:pt>
                <c:pt idx="8">
                  <c:v>141.33150313728581</c:v>
                </c:pt>
                <c:pt idx="9">
                  <c:v>141.33150313728581</c:v>
                </c:pt>
                <c:pt idx="10">
                  <c:v>132.86324039006686</c:v>
                </c:pt>
                <c:pt idx="11">
                  <c:v>132.86324039006686</c:v>
                </c:pt>
                <c:pt idx="12">
                  <c:v>124.47093734128543</c:v>
                </c:pt>
                <c:pt idx="13">
                  <c:v>124.47093734128543</c:v>
                </c:pt>
                <c:pt idx="14">
                  <c:v>116.15651821325686</c:v>
                </c:pt>
                <c:pt idx="15">
                  <c:v>116.15651821325686</c:v>
                </c:pt>
                <c:pt idx="16">
                  <c:v>107.9220773166947</c:v>
                </c:pt>
                <c:pt idx="17">
                  <c:v>107.9220773166947</c:v>
                </c:pt>
                <c:pt idx="18">
                  <c:v>99.769906229815206</c:v>
                </c:pt>
                <c:pt idx="19">
                  <c:v>99.769906229815206</c:v>
                </c:pt>
                <c:pt idx="20">
                  <c:v>91.702527536153411</c:v>
                </c:pt>
                <c:pt idx="21">
                  <c:v>91.702527536153411</c:v>
                </c:pt>
                <c:pt idx="22">
                  <c:v>83.722737320112898</c:v>
                </c:pt>
                <c:pt idx="23">
                  <c:v>83.722737320112898</c:v>
                </c:pt>
                <c:pt idx="24">
                  <c:v>75.833659597401819</c:v>
                </c:pt>
                <c:pt idx="25">
                  <c:v>75.833659597401819</c:v>
                </c:pt>
                <c:pt idx="26">
                  <c:v>68.038817397191437</c:v>
                </c:pt>
                <c:pt idx="27">
                  <c:v>68.038817397191437</c:v>
                </c:pt>
                <c:pt idx="28">
                  <c:v>60.342227723516316</c:v>
                </c:pt>
                <c:pt idx="29">
                  <c:v>60.342227723516316</c:v>
                </c:pt>
                <c:pt idx="30">
                  <c:v>52.748531890624704</c:v>
                </c:pt>
                <c:pt idx="31">
                  <c:v>52.748531890624704</c:v>
                </c:pt>
                <c:pt idx="32">
                  <c:v>45.263180346587191</c:v>
                </c:pt>
                <c:pt idx="33">
                  <c:v>45.263180346587191</c:v>
                </c:pt>
                <c:pt idx="34">
                  <c:v>37.892705545846539</c:v>
                </c:pt>
                <c:pt idx="35">
                  <c:v>37.892705545846539</c:v>
                </c:pt>
                <c:pt idx="36">
                  <c:v>30.645145940849069</c:v>
                </c:pt>
                <c:pt idx="37">
                  <c:v>30.645145940849069</c:v>
                </c:pt>
                <c:pt idx="38">
                  <c:v>23.530750490513405</c:v>
                </c:pt>
                <c:pt idx="39">
                  <c:v>23.530750490513405</c:v>
                </c:pt>
                <c:pt idx="40">
                  <c:v>16.563262536749999</c:v>
                </c:pt>
                <c:pt idx="41">
                  <c:v>16.563262536749999</c:v>
                </c:pt>
                <c:pt idx="42">
                  <c:v>9.7626017734852848</c:v>
                </c:pt>
                <c:pt idx="43">
                  <c:v>9.7626017734852848</c:v>
                </c:pt>
                <c:pt idx="44">
                  <c:v>3.1619004005166063</c:v>
                </c:pt>
                <c:pt idx="45">
                  <c:v>3.1619004005166063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F0-422A-9662-6134AFBE0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99920"/>
        <c:axId val="536929056"/>
      </c:scatterChart>
      <c:valAx>
        <c:axId val="62509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RD in 1000 ft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29056"/>
        <c:crosses val="autoZero"/>
        <c:crossBetween val="midCat"/>
      </c:valAx>
      <c:valAx>
        <c:axId val="53692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Comulative discharge (cusecs)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09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RD Vs Different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NSL Vs RD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cat>
            <c:strRef>
              <c:f>'Command Statememnt '!$Q$4:$Q$13</c:f>
              <c:strCache>
                <c:ptCount val="10"/>
                <c:pt idx="0">
                  <c:v>499+01</c:v>
                </c:pt>
                <c:pt idx="1">
                  <c:v>499+01</c:v>
                </c:pt>
                <c:pt idx="2">
                  <c:v>543+37</c:v>
                </c:pt>
                <c:pt idx="3">
                  <c:v>543+37</c:v>
                </c:pt>
                <c:pt idx="4">
                  <c:v>587+72</c:v>
                </c:pt>
                <c:pt idx="5">
                  <c:v>587+72</c:v>
                </c:pt>
                <c:pt idx="6">
                  <c:v>632+08</c:v>
                </c:pt>
                <c:pt idx="7">
                  <c:v>632+08</c:v>
                </c:pt>
                <c:pt idx="8">
                  <c:v>676+44</c:v>
                </c:pt>
                <c:pt idx="9">
                  <c:v>676+44</c:v>
                </c:pt>
              </c:strCache>
            </c:strRef>
          </c:cat>
          <c:val>
            <c:numRef>
              <c:f>'Command Statememnt '!$P$4:$P$13</c:f>
              <c:numCache>
                <c:formatCode>0.00</c:formatCode>
                <c:ptCount val="10"/>
                <c:pt idx="0">
                  <c:v>146.4</c:v>
                </c:pt>
                <c:pt idx="1">
                  <c:v>146.4</c:v>
                </c:pt>
                <c:pt idx="2">
                  <c:v>146.1</c:v>
                </c:pt>
                <c:pt idx="3">
                  <c:v>146.1</c:v>
                </c:pt>
                <c:pt idx="4">
                  <c:v>145.9</c:v>
                </c:pt>
                <c:pt idx="5">
                  <c:v>145.9</c:v>
                </c:pt>
                <c:pt idx="6">
                  <c:v>145.69999999999999</c:v>
                </c:pt>
                <c:pt idx="7">
                  <c:v>145.69999999999999</c:v>
                </c:pt>
                <c:pt idx="8">
                  <c:v>145.5</c:v>
                </c:pt>
                <c:pt idx="9">
                  <c:v>145.5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BC5-480C-B4C7-91F50B5244CC}"/>
            </c:ext>
          </c:extLst>
        </c:ser>
        <c:ser>
          <c:idx val="1"/>
          <c:order val="1"/>
          <c:tx>
            <c:v>Bed Level Vs RD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'Command Statememnt '!$R$4:$R$13</c:f>
              <c:numCache>
                <c:formatCode>0.00</c:formatCode>
                <c:ptCount val="10"/>
                <c:pt idx="0">
                  <c:v>144.62261421505372</c:v>
                </c:pt>
                <c:pt idx="1">
                  <c:v>144.62261421505372</c:v>
                </c:pt>
                <c:pt idx="2">
                  <c:v>144.3595506755392</c:v>
                </c:pt>
                <c:pt idx="3">
                  <c:v>144.3595506755392</c:v>
                </c:pt>
                <c:pt idx="4">
                  <c:v>144.197537803583</c:v>
                </c:pt>
                <c:pt idx="5">
                  <c:v>144.197537803583</c:v>
                </c:pt>
                <c:pt idx="6">
                  <c:v>144.03666032197566</c:v>
                </c:pt>
                <c:pt idx="7">
                  <c:v>144.03666032197566</c:v>
                </c:pt>
                <c:pt idx="8">
                  <c:v>143.87701450516491</c:v>
                </c:pt>
                <c:pt idx="9">
                  <c:v>143.87701450516491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C5-480C-B4C7-91F50B524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419568"/>
        <c:axId val="366420224"/>
      </c:lineChart>
      <c:catAx>
        <c:axId val="36641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6420224"/>
        <c:crosses val="autoZero"/>
        <c:auto val="1"/>
        <c:lblAlgn val="ctr"/>
        <c:lblOffset val="100"/>
        <c:noMultiLvlLbl val="0"/>
      </c:catAx>
      <c:valAx>
        <c:axId val="36642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NSL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641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00B0F0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RD VS Different</a:t>
            </a:r>
            <a:r>
              <a:rPr lang="en-US" baseline="0"/>
              <a:t> bed levels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RD VS BL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'Command Statememnt '!$C$4:$C$47</c:f>
              <c:numCache>
                <c:formatCode>General</c:formatCode>
                <c:ptCount val="44"/>
                <c:pt idx="0">
                  <c:v>49901.574999999997</c:v>
                </c:pt>
                <c:pt idx="1">
                  <c:v>49901.574999999997</c:v>
                </c:pt>
                <c:pt idx="2">
                  <c:v>54337.274999999994</c:v>
                </c:pt>
                <c:pt idx="3">
                  <c:v>54337.274999999994</c:v>
                </c:pt>
                <c:pt idx="4">
                  <c:v>58772.974999999999</c:v>
                </c:pt>
                <c:pt idx="5">
                  <c:v>58772.974999999999</c:v>
                </c:pt>
                <c:pt idx="6">
                  <c:v>63208.674999999996</c:v>
                </c:pt>
                <c:pt idx="7">
                  <c:v>63208.674999999996</c:v>
                </c:pt>
                <c:pt idx="8">
                  <c:v>67644.375</c:v>
                </c:pt>
                <c:pt idx="9">
                  <c:v>67644.375</c:v>
                </c:pt>
                <c:pt idx="10">
                  <c:v>72080.074999999997</c:v>
                </c:pt>
                <c:pt idx="11">
                  <c:v>72080.074999999997</c:v>
                </c:pt>
                <c:pt idx="12">
                  <c:v>76515.774999999994</c:v>
                </c:pt>
                <c:pt idx="13">
                  <c:v>76515.774999999994</c:v>
                </c:pt>
                <c:pt idx="14">
                  <c:v>80951.475000000006</c:v>
                </c:pt>
                <c:pt idx="15">
                  <c:v>80951.475000000006</c:v>
                </c:pt>
                <c:pt idx="16">
                  <c:v>85387.174999999988</c:v>
                </c:pt>
                <c:pt idx="17">
                  <c:v>85387.174999999988</c:v>
                </c:pt>
                <c:pt idx="18">
                  <c:v>89822.875</c:v>
                </c:pt>
                <c:pt idx="19">
                  <c:v>89822.875</c:v>
                </c:pt>
                <c:pt idx="20">
                  <c:v>94258.574999999997</c:v>
                </c:pt>
                <c:pt idx="21">
                  <c:v>94258.574999999997</c:v>
                </c:pt>
                <c:pt idx="22">
                  <c:v>98694.274999999994</c:v>
                </c:pt>
                <c:pt idx="23">
                  <c:v>98694.274999999994</c:v>
                </c:pt>
                <c:pt idx="24">
                  <c:v>103129.97500000001</c:v>
                </c:pt>
                <c:pt idx="25">
                  <c:v>103129.97500000001</c:v>
                </c:pt>
                <c:pt idx="26">
                  <c:v>107565.67499999999</c:v>
                </c:pt>
                <c:pt idx="27">
                  <c:v>107565.67499999999</c:v>
                </c:pt>
                <c:pt idx="28">
                  <c:v>112001.375</c:v>
                </c:pt>
                <c:pt idx="29">
                  <c:v>112001.375</c:v>
                </c:pt>
                <c:pt idx="30">
                  <c:v>116437.075</c:v>
                </c:pt>
                <c:pt idx="31">
                  <c:v>116437.075</c:v>
                </c:pt>
                <c:pt idx="32">
                  <c:v>120872.77499999999</c:v>
                </c:pt>
                <c:pt idx="33">
                  <c:v>120872.77499999999</c:v>
                </c:pt>
                <c:pt idx="34">
                  <c:v>125308.47499999999</c:v>
                </c:pt>
                <c:pt idx="35">
                  <c:v>125308.47499999999</c:v>
                </c:pt>
                <c:pt idx="36">
                  <c:v>129744.175</c:v>
                </c:pt>
                <c:pt idx="37">
                  <c:v>129744.175</c:v>
                </c:pt>
                <c:pt idx="38">
                  <c:v>134179.875</c:v>
                </c:pt>
                <c:pt idx="39">
                  <c:v>134179.875</c:v>
                </c:pt>
                <c:pt idx="40">
                  <c:v>138615.57500000001</c:v>
                </c:pt>
                <c:pt idx="41">
                  <c:v>138615.57500000001</c:v>
                </c:pt>
                <c:pt idx="42">
                  <c:v>143051.27499999999</c:v>
                </c:pt>
                <c:pt idx="43">
                  <c:v>143051.27499999999</c:v>
                </c:pt>
              </c:numCache>
            </c:numRef>
          </c:xVal>
          <c:yVal>
            <c:numRef>
              <c:f>'Command Statememnt '!$M$4:$M$47</c:f>
              <c:numCache>
                <c:formatCode>0.00</c:formatCode>
                <c:ptCount val="44"/>
                <c:pt idx="0">
                  <c:v>144.62261421505372</c:v>
                </c:pt>
                <c:pt idx="1">
                  <c:v>144.62261421505372</c:v>
                </c:pt>
                <c:pt idx="2">
                  <c:v>144.3595506755392</c:v>
                </c:pt>
                <c:pt idx="3">
                  <c:v>144.3595506755392</c:v>
                </c:pt>
                <c:pt idx="4">
                  <c:v>144.197537803583</c:v>
                </c:pt>
                <c:pt idx="5">
                  <c:v>144.197537803583</c:v>
                </c:pt>
                <c:pt idx="6">
                  <c:v>144.03666032197566</c:v>
                </c:pt>
                <c:pt idx="7">
                  <c:v>144.03666032197566</c:v>
                </c:pt>
                <c:pt idx="8">
                  <c:v>143.87701450516491</c:v>
                </c:pt>
                <c:pt idx="9">
                  <c:v>143.87701450516491</c:v>
                </c:pt>
                <c:pt idx="10">
                  <c:v>143.81871045994632</c:v>
                </c:pt>
                <c:pt idx="11">
                  <c:v>143.81871045994632</c:v>
                </c:pt>
                <c:pt idx="12">
                  <c:v>143.66187501053074</c:v>
                </c:pt>
                <c:pt idx="13">
                  <c:v>143.66187501053074</c:v>
                </c:pt>
                <c:pt idx="14">
                  <c:v>143.40665539355786</c:v>
                </c:pt>
                <c:pt idx="15">
                  <c:v>143.40665539355786</c:v>
                </c:pt>
                <c:pt idx="16">
                  <c:v>143.15322405580272</c:v>
                </c:pt>
                <c:pt idx="17">
                  <c:v>143.15322405580272</c:v>
                </c:pt>
                <c:pt idx="18">
                  <c:v>143.00178497968056</c:v>
                </c:pt>
                <c:pt idx="19">
                  <c:v>143.00178497968056</c:v>
                </c:pt>
                <c:pt idx="20">
                  <c:v>142.65258216738272</c:v>
                </c:pt>
                <c:pt idx="21">
                  <c:v>142.65258216738272</c:v>
                </c:pt>
                <c:pt idx="22">
                  <c:v>142.40591124273058</c:v>
                </c:pt>
                <c:pt idx="23">
                  <c:v>142.40591124273058</c:v>
                </c:pt>
                <c:pt idx="24">
                  <c:v>142.16213566904591</c:v>
                </c:pt>
                <c:pt idx="25">
                  <c:v>142.16213566904591</c:v>
                </c:pt>
                <c:pt idx="26">
                  <c:v>141.9217099963308</c:v>
                </c:pt>
                <c:pt idx="27">
                  <c:v>141.9217099963308</c:v>
                </c:pt>
                <c:pt idx="28">
                  <c:v>141.68521416062694</c:v>
                </c:pt>
                <c:pt idx="29">
                  <c:v>141.68521416062694</c:v>
                </c:pt>
                <c:pt idx="30">
                  <c:v>141.45340580330813</c:v>
                </c:pt>
                <c:pt idx="31">
                  <c:v>141.45340580330813</c:v>
                </c:pt>
                <c:pt idx="32">
                  <c:v>141.32730319012359</c:v>
                </c:pt>
                <c:pt idx="33">
                  <c:v>141.32730319012359</c:v>
                </c:pt>
                <c:pt idx="34">
                  <c:v>141.00832238930823</c:v>
                </c:pt>
                <c:pt idx="35">
                  <c:v>141.00832238930823</c:v>
                </c:pt>
                <c:pt idx="36">
                  <c:v>140.99851430208815</c:v>
                </c:pt>
                <c:pt idx="37">
                  <c:v>140.99851430208815</c:v>
                </c:pt>
                <c:pt idx="38">
                  <c:v>141.00098325008801</c:v>
                </c:pt>
                <c:pt idx="39">
                  <c:v>141.00098325008801</c:v>
                </c:pt>
                <c:pt idx="40">
                  <c:v>140.92051604043834</c:v>
                </c:pt>
                <c:pt idx="41">
                  <c:v>140.92051604043834</c:v>
                </c:pt>
                <c:pt idx="42">
                  <c:v>140.96189457045287</c:v>
                </c:pt>
                <c:pt idx="43">
                  <c:v>140.96189457045287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C0-4D72-B2BB-36DCCC74685E}"/>
            </c:ext>
          </c:extLst>
        </c:ser>
        <c:ser>
          <c:idx val="1"/>
          <c:order val="1"/>
          <c:tx>
            <c:v>RD VS NSL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'Command Statememnt '!$C$4:$C$47</c:f>
              <c:numCache>
                <c:formatCode>General</c:formatCode>
                <c:ptCount val="44"/>
                <c:pt idx="0">
                  <c:v>49901.574999999997</c:v>
                </c:pt>
                <c:pt idx="1">
                  <c:v>49901.574999999997</c:v>
                </c:pt>
                <c:pt idx="2">
                  <c:v>54337.274999999994</c:v>
                </c:pt>
                <c:pt idx="3">
                  <c:v>54337.274999999994</c:v>
                </c:pt>
                <c:pt idx="4">
                  <c:v>58772.974999999999</c:v>
                </c:pt>
                <c:pt idx="5">
                  <c:v>58772.974999999999</c:v>
                </c:pt>
                <c:pt idx="6">
                  <c:v>63208.674999999996</c:v>
                </c:pt>
                <c:pt idx="7">
                  <c:v>63208.674999999996</c:v>
                </c:pt>
                <c:pt idx="8">
                  <c:v>67644.375</c:v>
                </c:pt>
                <c:pt idx="9">
                  <c:v>67644.375</c:v>
                </c:pt>
                <c:pt idx="10">
                  <c:v>72080.074999999997</c:v>
                </c:pt>
                <c:pt idx="11">
                  <c:v>72080.074999999997</c:v>
                </c:pt>
                <c:pt idx="12">
                  <c:v>76515.774999999994</c:v>
                </c:pt>
                <c:pt idx="13">
                  <c:v>76515.774999999994</c:v>
                </c:pt>
                <c:pt idx="14">
                  <c:v>80951.475000000006</c:v>
                </c:pt>
                <c:pt idx="15">
                  <c:v>80951.475000000006</c:v>
                </c:pt>
                <c:pt idx="16">
                  <c:v>85387.174999999988</c:v>
                </c:pt>
                <c:pt idx="17">
                  <c:v>85387.174999999988</c:v>
                </c:pt>
                <c:pt idx="18">
                  <c:v>89822.875</c:v>
                </c:pt>
                <c:pt idx="19">
                  <c:v>89822.875</c:v>
                </c:pt>
                <c:pt idx="20">
                  <c:v>94258.574999999997</c:v>
                </c:pt>
                <c:pt idx="21">
                  <c:v>94258.574999999997</c:v>
                </c:pt>
                <c:pt idx="22">
                  <c:v>98694.274999999994</c:v>
                </c:pt>
                <c:pt idx="23">
                  <c:v>98694.274999999994</c:v>
                </c:pt>
                <c:pt idx="24">
                  <c:v>103129.97500000001</c:v>
                </c:pt>
                <c:pt idx="25">
                  <c:v>103129.97500000001</c:v>
                </c:pt>
                <c:pt idx="26">
                  <c:v>107565.67499999999</c:v>
                </c:pt>
                <c:pt idx="27">
                  <c:v>107565.67499999999</c:v>
                </c:pt>
                <c:pt idx="28">
                  <c:v>112001.375</c:v>
                </c:pt>
                <c:pt idx="29">
                  <c:v>112001.375</c:v>
                </c:pt>
                <c:pt idx="30">
                  <c:v>116437.075</c:v>
                </c:pt>
                <c:pt idx="31">
                  <c:v>116437.075</c:v>
                </c:pt>
                <c:pt idx="32">
                  <c:v>120872.77499999999</c:v>
                </c:pt>
                <c:pt idx="33">
                  <c:v>120872.77499999999</c:v>
                </c:pt>
                <c:pt idx="34">
                  <c:v>125308.47499999999</c:v>
                </c:pt>
                <c:pt idx="35">
                  <c:v>125308.47499999999</c:v>
                </c:pt>
                <c:pt idx="36">
                  <c:v>129744.175</c:v>
                </c:pt>
                <c:pt idx="37">
                  <c:v>129744.175</c:v>
                </c:pt>
                <c:pt idx="38">
                  <c:v>134179.875</c:v>
                </c:pt>
                <c:pt idx="39">
                  <c:v>134179.875</c:v>
                </c:pt>
                <c:pt idx="40">
                  <c:v>138615.57500000001</c:v>
                </c:pt>
                <c:pt idx="41">
                  <c:v>138615.57500000001</c:v>
                </c:pt>
                <c:pt idx="42">
                  <c:v>143051.27499999999</c:v>
                </c:pt>
                <c:pt idx="43">
                  <c:v>143051.27499999999</c:v>
                </c:pt>
              </c:numCache>
            </c:numRef>
          </c:xVal>
          <c:yVal>
            <c:numRef>
              <c:f>'Command Statememnt '!$N$4:$N$47</c:f>
              <c:numCache>
                <c:formatCode>0.00</c:formatCode>
                <c:ptCount val="44"/>
                <c:pt idx="0">
                  <c:v>146.4</c:v>
                </c:pt>
                <c:pt idx="1">
                  <c:v>146.4</c:v>
                </c:pt>
                <c:pt idx="2">
                  <c:v>146.1</c:v>
                </c:pt>
                <c:pt idx="3">
                  <c:v>146.1</c:v>
                </c:pt>
                <c:pt idx="4">
                  <c:v>145.9</c:v>
                </c:pt>
                <c:pt idx="5">
                  <c:v>145.9</c:v>
                </c:pt>
                <c:pt idx="6">
                  <c:v>145.69999999999999</c:v>
                </c:pt>
                <c:pt idx="7">
                  <c:v>145.69999999999999</c:v>
                </c:pt>
                <c:pt idx="8">
                  <c:v>145.5</c:v>
                </c:pt>
                <c:pt idx="9">
                  <c:v>145.5</c:v>
                </c:pt>
                <c:pt idx="10">
                  <c:v>145.4</c:v>
                </c:pt>
                <c:pt idx="11">
                  <c:v>145.4</c:v>
                </c:pt>
                <c:pt idx="12">
                  <c:v>145.19999999999999</c:v>
                </c:pt>
                <c:pt idx="13">
                  <c:v>145.19999999999999</c:v>
                </c:pt>
                <c:pt idx="14">
                  <c:v>144.9</c:v>
                </c:pt>
                <c:pt idx="15">
                  <c:v>144.9</c:v>
                </c:pt>
                <c:pt idx="16">
                  <c:v>144.6</c:v>
                </c:pt>
                <c:pt idx="17">
                  <c:v>144.6</c:v>
                </c:pt>
                <c:pt idx="18">
                  <c:v>144.4</c:v>
                </c:pt>
                <c:pt idx="19">
                  <c:v>144.4</c:v>
                </c:pt>
                <c:pt idx="20">
                  <c:v>144</c:v>
                </c:pt>
                <c:pt idx="21">
                  <c:v>144</c:v>
                </c:pt>
                <c:pt idx="22">
                  <c:v>143.69999999999999</c:v>
                </c:pt>
                <c:pt idx="23">
                  <c:v>143.69999999999999</c:v>
                </c:pt>
                <c:pt idx="24">
                  <c:v>143.4</c:v>
                </c:pt>
                <c:pt idx="25">
                  <c:v>143.4</c:v>
                </c:pt>
                <c:pt idx="26">
                  <c:v>143.1</c:v>
                </c:pt>
                <c:pt idx="27">
                  <c:v>143.1</c:v>
                </c:pt>
                <c:pt idx="28">
                  <c:v>142.80000000000001</c:v>
                </c:pt>
                <c:pt idx="29">
                  <c:v>142.80000000000001</c:v>
                </c:pt>
                <c:pt idx="30">
                  <c:v>142.5</c:v>
                </c:pt>
                <c:pt idx="31">
                  <c:v>142.5</c:v>
                </c:pt>
                <c:pt idx="32">
                  <c:v>142.30000000000001</c:v>
                </c:pt>
                <c:pt idx="33">
                  <c:v>142.30000000000001</c:v>
                </c:pt>
                <c:pt idx="34">
                  <c:v>141.9</c:v>
                </c:pt>
                <c:pt idx="35">
                  <c:v>141.9</c:v>
                </c:pt>
                <c:pt idx="36">
                  <c:v>141.80000000000001</c:v>
                </c:pt>
                <c:pt idx="37">
                  <c:v>141.80000000000001</c:v>
                </c:pt>
                <c:pt idx="38">
                  <c:v>141.69999999999999</c:v>
                </c:pt>
                <c:pt idx="39">
                  <c:v>141.69999999999999</c:v>
                </c:pt>
                <c:pt idx="40">
                  <c:v>141.5</c:v>
                </c:pt>
                <c:pt idx="41">
                  <c:v>141.5</c:v>
                </c:pt>
                <c:pt idx="42">
                  <c:v>141.4</c:v>
                </c:pt>
                <c:pt idx="43">
                  <c:v>141.4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C0-4D72-B2BB-36DCCC74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729504"/>
        <c:axId val="1258431408"/>
      </c:scatterChart>
      <c:valAx>
        <c:axId val="125772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RD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431408"/>
        <c:crosses val="autoZero"/>
        <c:crossBetween val="midCat"/>
      </c:valAx>
      <c:valAx>
        <c:axId val="125843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Reduced level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29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67</xdr:col>
      <xdr:colOff>47625</xdr:colOff>
      <xdr:row>36</xdr:row>
      <xdr:rowOff>109537</xdr:rowOff>
    </xdr:from>
    <xdr:ext cx="2112501" cy="3180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36118800" y="7567612"/>
              <a:ext cx="2112501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𝑊𝑎𝑡𝑒𝑟</m:t>
                    </m:r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𝐴𝑙𝑙𝑜𝑤𝑎𝑛𝑐𝑒</m:t>
                    </m:r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𝑇</m:t>
                            </m:r>
                          </m:sub>
                        </m:sSub>
                        <m:r>
                          <a:rPr lang="en-US" sz="1100" b="0" i="1" baseline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×1000</m:t>
                        </m:r>
                      </m:num>
                      <m:den>
                        <m:r>
                          <a:rPr lang="en-US" sz="1100" b="0" i="1" baseline="0">
                            <a:latin typeface="Cambria Math" panose="02040503050406030204" pitchFamily="18" charset="0"/>
                          </a:rPr>
                          <m:t>𝐶𝐶𝐴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36118800" y="7567612"/>
              <a:ext cx="2112501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 baseline="0">
                  <a:latin typeface="Cambria Math" panose="02040503050406030204" pitchFamily="18" charset="0"/>
                </a:rPr>
                <a:t>∗𝑊𝑎𝑡𝑒𝑟 𝐴𝑙𝑙𝑜𝑤𝑎𝑛𝑐𝑒=  (𝑄_𝑇</a:t>
              </a:r>
              <a:r>
                <a:rPr lang="en-US" sz="11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×1000)/</a:t>
              </a:r>
              <a:r>
                <a:rPr lang="en-US" sz="1100" b="0" i="0" baseline="0">
                  <a:latin typeface="Cambria Math" panose="02040503050406030204" pitchFamily="18" charset="0"/>
                </a:rPr>
                <a:t>𝐶𝐶𝐴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66</xdr:col>
      <xdr:colOff>628650</xdr:colOff>
      <xdr:row>40</xdr:row>
      <xdr:rowOff>185737</xdr:rowOff>
    </xdr:from>
    <xdr:ext cx="2542556" cy="3510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7890450" y="8482012"/>
              <a:ext cx="2542556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∗∗∗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𝑁𝑜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𝑜𝑢𝑡𝑙𝑒𝑡𝑠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𝐶𝐶𝐴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𝐶𝐶𝐴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𝑜𝑓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𝑒𝑎𝑐h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𝑜𝑢𝑡𝑙𝑒𝑡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621EA00-E37A-4F33-96D8-D482395BED40}"/>
                </a:ext>
              </a:extLst>
            </xdr:cNvPr>
            <xdr:cNvSpPr txBox="1"/>
          </xdr:nvSpPr>
          <xdr:spPr>
            <a:xfrm>
              <a:off x="37890450" y="8482012"/>
              <a:ext cx="2542556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∗∗∗𝑁𝑜. 𝑜𝑓 𝑜𝑢𝑡𝑙𝑒𝑡𝑠=  (𝑇𝑜𝑡𝑎𝑙 𝐶𝐶𝐴)/(𝐶𝐶𝐴 𝑜𝑓 𝑒𝑎𝑐ℎ 𝑜𝑢𝑡𝑙𝑒𝑡)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67</xdr:col>
      <xdr:colOff>28575</xdr:colOff>
      <xdr:row>38</xdr:row>
      <xdr:rowOff>133350</xdr:rowOff>
    </xdr:from>
    <xdr:to>
      <xdr:col>68</xdr:col>
      <xdr:colOff>476250</xdr:colOff>
      <xdr:row>40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0726BB-9339-4F9D-969F-7ED294BF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0" y="7972425"/>
          <a:ext cx="21050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185208</xdr:colOff>
      <xdr:row>53</xdr:row>
      <xdr:rowOff>25400</xdr:rowOff>
    </xdr:from>
    <xdr:to>
      <xdr:col>11</xdr:col>
      <xdr:colOff>698500</xdr:colOff>
      <xdr:row>70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81642</xdr:colOff>
      <xdr:row>0</xdr:row>
      <xdr:rowOff>68036</xdr:rowOff>
    </xdr:from>
    <xdr:to>
      <xdr:col>23</xdr:col>
      <xdr:colOff>544681</xdr:colOff>
      <xdr:row>15</xdr:row>
      <xdr:rowOff>54428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9535" y="68036"/>
          <a:ext cx="4572396" cy="33065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15</xdr:row>
          <xdr:rowOff>180975</xdr:rowOff>
        </xdr:from>
        <xdr:to>
          <xdr:col>23</xdr:col>
          <xdr:colOff>542925</xdr:colOff>
          <xdr:row>18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18</xdr:row>
          <xdr:rowOff>161925</xdr:rowOff>
        </xdr:from>
        <xdr:to>
          <xdr:col>23</xdr:col>
          <xdr:colOff>561975</xdr:colOff>
          <xdr:row>28</xdr:row>
          <xdr:rowOff>9525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97</xdr:row>
      <xdr:rowOff>31324</xdr:rowOff>
    </xdr:from>
    <xdr:to>
      <xdr:col>13</xdr:col>
      <xdr:colOff>35585</xdr:colOff>
      <xdr:row>116</xdr:row>
      <xdr:rowOff>22747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158751</xdr:colOff>
      <xdr:row>49</xdr:row>
      <xdr:rowOff>116416</xdr:rowOff>
    </xdr:from>
    <xdr:to>
      <xdr:col>12</xdr:col>
      <xdr:colOff>857252</xdr:colOff>
      <xdr:row>72</xdr:row>
      <xdr:rowOff>116416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109007</xdr:colOff>
      <xdr:row>17</xdr:row>
      <xdr:rowOff>40216</xdr:rowOff>
    </xdr:from>
    <xdr:ext cx="1390701" cy="3227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109007" y="3321049"/>
              <a:ext cx="1390701" cy="3227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𝑢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7∗24−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𝐶𝐶𝐴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4AC56AD-A556-4553-8BB9-C696C6B656D0}"/>
                </a:ext>
              </a:extLst>
            </xdr:cNvPr>
            <xdr:cNvSpPr txBox="1"/>
          </xdr:nvSpPr>
          <xdr:spPr>
            <a:xfrm>
              <a:off x="109007" y="3321049"/>
              <a:ext cx="1390701" cy="3227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∗𝑇〗_𝑢=(7∗24−𝑇_𝑓+𝑇_𝑑)/𝐶𝐶𝐴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109008</xdr:colOff>
      <xdr:row>19</xdr:row>
      <xdr:rowOff>8467</xdr:rowOff>
    </xdr:from>
    <xdr:ext cx="1307089" cy="183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 txBox="1"/>
          </xdr:nvSpPr>
          <xdr:spPr>
            <a:xfrm>
              <a:off x="109008" y="3670300"/>
              <a:ext cx="1307089" cy="183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∗∗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𝑢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8C8441-B3AA-443C-8EB1-6BCBF7624AB5}"/>
                </a:ext>
              </a:extLst>
            </xdr:cNvPr>
            <xdr:cNvSpPr txBox="1"/>
          </xdr:nvSpPr>
          <xdr:spPr>
            <a:xfrm>
              <a:off x="109008" y="3670300"/>
              <a:ext cx="1307089" cy="183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∗∗𝑇〗_𝑡=𝑇_𝑢 𝐴+𝑇_𝑓−𝑇_𝑑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4"/>
  <sheetViews>
    <sheetView topLeftCell="BF26" zoomScaleNormal="100" workbookViewId="0">
      <selection activeCell="BQ41" sqref="BQ41"/>
    </sheetView>
  </sheetViews>
  <sheetFormatPr defaultRowHeight="15" x14ac:dyDescent="0.25"/>
  <cols>
    <col min="1" max="1" width="9.85546875" style="7" customWidth="1"/>
    <col min="2" max="2" width="18.140625" style="7" customWidth="1"/>
    <col min="3" max="3" width="8.85546875" style="7" customWidth="1"/>
    <col min="4" max="4" width="12" style="7" customWidth="1"/>
    <col min="5" max="5" width="5.140625" style="7" customWidth="1"/>
    <col min="6" max="6" width="6.42578125" style="7" customWidth="1"/>
    <col min="7" max="7" width="7.5703125" style="7" customWidth="1"/>
    <col min="8" max="8" width="5.7109375" style="7" customWidth="1"/>
    <col min="9" max="9" width="5.42578125" style="7" customWidth="1"/>
    <col min="10" max="10" width="6.28515625" style="7" customWidth="1"/>
    <col min="11" max="11" width="7.85546875" style="7" customWidth="1"/>
    <col min="12" max="12" width="5.7109375" style="7" customWidth="1"/>
    <col min="13" max="13" width="6" style="7" customWidth="1"/>
    <col min="14" max="14" width="6.7109375" style="7" customWidth="1"/>
    <col min="15" max="15" width="7.85546875" style="7" customWidth="1"/>
    <col min="16" max="16" width="6.140625" style="7" customWidth="1"/>
    <col min="17" max="17" width="5.5703125" style="7" customWidth="1"/>
    <col min="18" max="18" width="6" style="7" customWidth="1"/>
    <col min="19" max="19" width="8" style="7" customWidth="1"/>
    <col min="20" max="20" width="7" style="7" customWidth="1"/>
    <col min="21" max="21" width="5.42578125" style="7" customWidth="1"/>
    <col min="22" max="22" width="6.85546875" style="7" customWidth="1"/>
    <col min="23" max="23" width="7.5703125" style="7" customWidth="1"/>
    <col min="24" max="24" width="6.5703125" style="7" customWidth="1"/>
    <col min="25" max="27" width="8.7109375" style="7" customWidth="1"/>
    <col min="28" max="28" width="6.28515625" style="7" customWidth="1"/>
    <col min="29" max="29" width="5.28515625" style="7" customWidth="1"/>
    <col min="30" max="30" width="6.42578125" style="7" customWidth="1"/>
    <col min="31" max="31" width="7.7109375" style="7" customWidth="1"/>
    <col min="32" max="32" width="6.7109375" style="7" customWidth="1"/>
    <col min="33" max="33" width="5.42578125" style="7" customWidth="1"/>
    <col min="34" max="34" width="5.28515625" style="7" customWidth="1"/>
    <col min="35" max="35" width="8" style="7" customWidth="1"/>
    <col min="36" max="36" width="6.5703125" style="7" customWidth="1"/>
    <col min="37" max="37" width="5.42578125" style="7" customWidth="1"/>
    <col min="38" max="38" width="5.85546875" style="7" bestFit="1" customWidth="1"/>
    <col min="39" max="39" width="7.5703125" style="7" customWidth="1"/>
    <col min="40" max="40" width="6.85546875" style="7" customWidth="1"/>
    <col min="41" max="41" width="6.140625" style="7" customWidth="1"/>
    <col min="42" max="42" width="6.42578125" style="7" customWidth="1"/>
    <col min="43" max="43" width="8" style="7" customWidth="1"/>
    <col min="44" max="44" width="6" style="7" customWidth="1"/>
    <col min="45" max="46" width="6.140625" style="7" customWidth="1"/>
    <col min="47" max="47" width="7.5703125" style="7" customWidth="1"/>
    <col min="48" max="48" width="6.28515625" style="7" customWidth="1"/>
    <col min="49" max="49" width="6" style="7" customWidth="1"/>
    <col min="50" max="50" width="6.140625" style="7" customWidth="1"/>
    <col min="51" max="51" width="7.5703125" style="7" customWidth="1"/>
    <col min="52" max="52" width="5.5703125" style="7" customWidth="1"/>
    <col min="53" max="53" width="7.5703125" style="7" customWidth="1"/>
    <col min="54" max="54" width="7" style="7" customWidth="1"/>
    <col min="55" max="55" width="11.85546875" style="7" customWidth="1"/>
    <col min="56" max="56" width="10.85546875" style="7" customWidth="1"/>
    <col min="57" max="57" width="14.42578125" style="7" bestFit="1" customWidth="1"/>
    <col min="58" max="58" width="11.5703125" style="7" customWidth="1"/>
    <col min="59" max="59" width="12.7109375" style="7" customWidth="1"/>
    <col min="60" max="60" width="12" style="7" customWidth="1"/>
    <col min="61" max="61" width="18.42578125" style="7" bestFit="1" customWidth="1"/>
    <col min="62" max="62" width="10.42578125" style="7" customWidth="1"/>
    <col min="63" max="63" width="14.28515625" style="7" customWidth="1"/>
    <col min="64" max="64" width="15" style="7" customWidth="1"/>
    <col min="65" max="65" width="9.85546875" style="7" customWidth="1"/>
    <col min="66" max="66" width="9.140625" style="7" customWidth="1"/>
    <col min="67" max="67" width="9.5703125" style="7" customWidth="1"/>
    <col min="68" max="68" width="24.85546875" style="7" customWidth="1"/>
    <col min="69" max="69" width="9.140625" style="7" customWidth="1"/>
    <col min="70" max="70" width="17.28515625" style="7" customWidth="1"/>
    <col min="71" max="16384" width="9.140625" style="7"/>
  </cols>
  <sheetData>
    <row r="1" spans="1:61" ht="15.75" thickBot="1" x14ac:dyDescent="0.3">
      <c r="A1" s="46" t="s">
        <v>38</v>
      </c>
      <c r="B1" s="46">
        <v>477732.29</v>
      </c>
      <c r="C1" s="46" t="s">
        <v>48</v>
      </c>
      <c r="BE1" s="11"/>
      <c r="BF1" s="11"/>
      <c r="BG1" s="11"/>
      <c r="BH1" s="11"/>
      <c r="BI1" s="11"/>
    </row>
    <row r="2" spans="1:61" ht="18.75" x14ac:dyDescent="0.3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6"/>
      <c r="BE2" s="20"/>
      <c r="BF2" s="20"/>
      <c r="BG2" s="20"/>
      <c r="BH2" s="20"/>
      <c r="BI2" s="20"/>
    </row>
    <row r="3" spans="1:61" ht="29.25" x14ac:dyDescent="0.25">
      <c r="A3" s="22" t="s">
        <v>6</v>
      </c>
      <c r="B3" s="23" t="s">
        <v>7</v>
      </c>
      <c r="C3" s="24" t="s">
        <v>7</v>
      </c>
      <c r="D3" s="24" t="s">
        <v>8</v>
      </c>
      <c r="E3" s="128" t="s">
        <v>25</v>
      </c>
      <c r="F3" s="128"/>
      <c r="G3" s="128"/>
      <c r="H3" s="128"/>
      <c r="I3" s="128" t="s">
        <v>26</v>
      </c>
      <c r="J3" s="128"/>
      <c r="K3" s="128"/>
      <c r="L3" s="128"/>
      <c r="M3" s="128" t="s">
        <v>27</v>
      </c>
      <c r="N3" s="128"/>
      <c r="O3" s="128"/>
      <c r="P3" s="128"/>
      <c r="Q3" s="128" t="s">
        <v>28</v>
      </c>
      <c r="R3" s="128"/>
      <c r="S3" s="128"/>
      <c r="T3" s="128"/>
      <c r="U3" s="128" t="s">
        <v>29</v>
      </c>
      <c r="V3" s="128"/>
      <c r="W3" s="128"/>
      <c r="X3" s="128"/>
      <c r="Y3" s="128" t="s">
        <v>30</v>
      </c>
      <c r="Z3" s="128"/>
      <c r="AA3" s="128"/>
      <c r="AB3" s="128"/>
      <c r="AC3" s="128" t="s">
        <v>31</v>
      </c>
      <c r="AD3" s="128"/>
      <c r="AE3" s="128"/>
      <c r="AF3" s="128"/>
      <c r="AG3" s="128" t="s">
        <v>32</v>
      </c>
      <c r="AH3" s="128"/>
      <c r="AI3" s="128"/>
      <c r="AJ3" s="128"/>
      <c r="AK3" s="128" t="s">
        <v>33</v>
      </c>
      <c r="AL3" s="128"/>
      <c r="AM3" s="128"/>
      <c r="AN3" s="128"/>
      <c r="AO3" s="128" t="s">
        <v>34</v>
      </c>
      <c r="AP3" s="128"/>
      <c r="AQ3" s="128"/>
      <c r="AR3" s="128"/>
      <c r="AS3" s="128" t="s">
        <v>35</v>
      </c>
      <c r="AT3" s="128"/>
      <c r="AU3" s="128"/>
      <c r="AV3" s="128"/>
      <c r="AW3" s="128" t="s">
        <v>36</v>
      </c>
      <c r="AX3" s="128"/>
      <c r="AY3" s="128"/>
      <c r="AZ3" s="128"/>
      <c r="BA3" s="128" t="s">
        <v>94</v>
      </c>
      <c r="BB3" s="128"/>
      <c r="BC3" s="24" t="s">
        <v>19</v>
      </c>
      <c r="BD3" s="25" t="s">
        <v>20</v>
      </c>
      <c r="BE3" s="12"/>
      <c r="BF3" s="12"/>
      <c r="BG3" s="12"/>
      <c r="BH3" s="11"/>
      <c r="BI3" s="11"/>
    </row>
    <row r="4" spans="1:61" x14ac:dyDescent="0.25">
      <c r="A4" s="22"/>
      <c r="B4" s="23"/>
      <c r="C4" s="24"/>
      <c r="D4" s="24"/>
      <c r="E4" s="23" t="s">
        <v>23</v>
      </c>
      <c r="F4" s="23" t="s">
        <v>24</v>
      </c>
      <c r="G4" s="23" t="s">
        <v>102</v>
      </c>
      <c r="H4" s="23" t="s">
        <v>99</v>
      </c>
      <c r="I4" s="23" t="s">
        <v>23</v>
      </c>
      <c r="J4" s="23" t="s">
        <v>24</v>
      </c>
      <c r="K4" s="23" t="s">
        <v>102</v>
      </c>
      <c r="L4" s="23" t="s">
        <v>99</v>
      </c>
      <c r="M4" s="23" t="s">
        <v>23</v>
      </c>
      <c r="N4" s="23" t="s">
        <v>24</v>
      </c>
      <c r="O4" s="23" t="s">
        <v>102</v>
      </c>
      <c r="P4" s="23" t="s">
        <v>99</v>
      </c>
      <c r="Q4" s="23" t="s">
        <v>23</v>
      </c>
      <c r="R4" s="23" t="s">
        <v>24</v>
      </c>
      <c r="S4" s="23" t="s">
        <v>102</v>
      </c>
      <c r="T4" s="23" t="s">
        <v>99</v>
      </c>
      <c r="U4" s="23" t="s">
        <v>23</v>
      </c>
      <c r="V4" s="23" t="s">
        <v>24</v>
      </c>
      <c r="W4" s="23" t="s">
        <v>102</v>
      </c>
      <c r="X4" s="23" t="s">
        <v>99</v>
      </c>
      <c r="Y4" s="23" t="s">
        <v>23</v>
      </c>
      <c r="Z4" s="23" t="s">
        <v>24</v>
      </c>
      <c r="AA4" s="23" t="s">
        <v>102</v>
      </c>
      <c r="AB4" s="23" t="s">
        <v>99</v>
      </c>
      <c r="AC4" s="23" t="s">
        <v>23</v>
      </c>
      <c r="AD4" s="23" t="s">
        <v>24</v>
      </c>
      <c r="AE4" s="23" t="s">
        <v>102</v>
      </c>
      <c r="AF4" s="23" t="s">
        <v>99</v>
      </c>
      <c r="AG4" s="23" t="s">
        <v>23</v>
      </c>
      <c r="AH4" s="23" t="s">
        <v>24</v>
      </c>
      <c r="AI4" s="23" t="s">
        <v>102</v>
      </c>
      <c r="AJ4" s="23" t="s">
        <v>99</v>
      </c>
      <c r="AK4" s="23" t="s">
        <v>23</v>
      </c>
      <c r="AL4" s="23" t="s">
        <v>24</v>
      </c>
      <c r="AM4" s="23" t="s">
        <v>102</v>
      </c>
      <c r="AN4" s="23" t="s">
        <v>99</v>
      </c>
      <c r="AO4" s="23" t="s">
        <v>23</v>
      </c>
      <c r="AP4" s="23" t="s">
        <v>24</v>
      </c>
      <c r="AQ4" s="23" t="s">
        <v>102</v>
      </c>
      <c r="AR4" s="23" t="s">
        <v>99</v>
      </c>
      <c r="AS4" s="23" t="s">
        <v>23</v>
      </c>
      <c r="AT4" s="23" t="s">
        <v>24</v>
      </c>
      <c r="AU4" s="23" t="s">
        <v>102</v>
      </c>
      <c r="AV4" s="23" t="s">
        <v>99</v>
      </c>
      <c r="AW4" s="23" t="s">
        <v>23</v>
      </c>
      <c r="AX4" s="23" t="s">
        <v>24</v>
      </c>
      <c r="AY4" s="23" t="s">
        <v>102</v>
      </c>
      <c r="AZ4" s="23" t="s">
        <v>99</v>
      </c>
      <c r="BA4" s="23"/>
      <c r="BB4" s="23"/>
      <c r="BC4" s="24"/>
      <c r="BD4" s="25"/>
      <c r="BE4" s="12"/>
      <c r="BF4" s="12"/>
      <c r="BG4" s="12"/>
      <c r="BH4" s="21"/>
      <c r="BI4" s="21"/>
    </row>
    <row r="5" spans="1:61" x14ac:dyDescent="0.25">
      <c r="A5" s="26"/>
      <c r="B5" s="27"/>
      <c r="C5" s="27" t="s">
        <v>95</v>
      </c>
      <c r="D5" s="27" t="s">
        <v>101</v>
      </c>
      <c r="E5" s="27"/>
      <c r="F5" s="27" t="s">
        <v>93</v>
      </c>
      <c r="G5" s="27" t="s">
        <v>93</v>
      </c>
      <c r="H5" s="27" t="s">
        <v>93</v>
      </c>
      <c r="I5" s="27"/>
      <c r="J5" s="27" t="s">
        <v>93</v>
      </c>
      <c r="K5" s="27" t="s">
        <v>93</v>
      </c>
      <c r="L5" s="27" t="s">
        <v>93</v>
      </c>
      <c r="M5" s="27"/>
      <c r="N5" s="27" t="s">
        <v>93</v>
      </c>
      <c r="O5" s="27" t="s">
        <v>93</v>
      </c>
      <c r="P5" s="27" t="s">
        <v>93</v>
      </c>
      <c r="Q5" s="27"/>
      <c r="R5" s="27" t="s">
        <v>93</v>
      </c>
      <c r="S5" s="27" t="s">
        <v>93</v>
      </c>
      <c r="T5" s="27" t="s">
        <v>93</v>
      </c>
      <c r="U5" s="27"/>
      <c r="V5" s="27" t="s">
        <v>93</v>
      </c>
      <c r="W5" s="27" t="s">
        <v>93</v>
      </c>
      <c r="X5" s="27" t="s">
        <v>93</v>
      </c>
      <c r="Y5" s="27"/>
      <c r="Z5" s="27" t="s">
        <v>93</v>
      </c>
      <c r="AA5" s="27" t="s">
        <v>93</v>
      </c>
      <c r="AB5" s="27" t="s">
        <v>93</v>
      </c>
      <c r="AC5" s="27"/>
      <c r="AD5" s="27" t="s">
        <v>93</v>
      </c>
      <c r="AE5" s="27" t="s">
        <v>93</v>
      </c>
      <c r="AF5" s="27" t="s">
        <v>93</v>
      </c>
      <c r="AG5" s="27"/>
      <c r="AH5" s="27" t="s">
        <v>93</v>
      </c>
      <c r="AI5" s="27" t="s">
        <v>93</v>
      </c>
      <c r="AJ5" s="27" t="s">
        <v>93</v>
      </c>
      <c r="AK5" s="27"/>
      <c r="AL5" s="27" t="s">
        <v>93</v>
      </c>
      <c r="AM5" s="27" t="s">
        <v>93</v>
      </c>
      <c r="AN5" s="27" t="s">
        <v>93</v>
      </c>
      <c r="AO5" s="27"/>
      <c r="AP5" s="27" t="s">
        <v>93</v>
      </c>
      <c r="AQ5" s="27" t="s">
        <v>93</v>
      </c>
      <c r="AR5" s="27" t="s">
        <v>93</v>
      </c>
      <c r="AS5" s="27"/>
      <c r="AT5" s="27" t="s">
        <v>93</v>
      </c>
      <c r="AU5" s="27" t="s">
        <v>93</v>
      </c>
      <c r="AV5" s="27" t="s">
        <v>93</v>
      </c>
      <c r="AW5" s="27"/>
      <c r="AX5" s="27" t="s">
        <v>93</v>
      </c>
      <c r="AY5" s="27" t="s">
        <v>93</v>
      </c>
      <c r="AZ5" s="27" t="s">
        <v>93</v>
      </c>
      <c r="BA5" s="27" t="s">
        <v>93</v>
      </c>
      <c r="BB5" s="27" t="s">
        <v>52</v>
      </c>
      <c r="BC5" s="27" t="s">
        <v>48</v>
      </c>
      <c r="BD5" s="28" t="s">
        <v>50</v>
      </c>
      <c r="BE5" s="12"/>
      <c r="BF5" s="12"/>
      <c r="BG5" s="12"/>
      <c r="BH5" s="11"/>
      <c r="BI5" s="11"/>
    </row>
    <row r="6" spans="1:61" x14ac:dyDescent="0.25">
      <c r="A6" s="13" t="s">
        <v>1</v>
      </c>
      <c r="B6" s="9" t="s">
        <v>11</v>
      </c>
      <c r="C6" s="9">
        <v>5</v>
      </c>
      <c r="D6" s="9">
        <v>40</v>
      </c>
      <c r="E6" s="9">
        <v>1.1499999999999999</v>
      </c>
      <c r="F6" s="9">
        <f>VLOOKUP(E$3,$BF$30:$BG$41,2,FALSE)</f>
        <v>1.5</v>
      </c>
      <c r="G6" s="9">
        <f>VLOOKUP(E$3,$BF$30:$BI$41,4,FALSE)</f>
        <v>0.5</v>
      </c>
      <c r="H6" s="10">
        <f>E6*F6-G6</f>
        <v>1.2249999999999999</v>
      </c>
      <c r="I6" s="9">
        <v>1.1499999999999999</v>
      </c>
      <c r="J6" s="9">
        <f>VLOOKUP(I$3,$BF$30:$BG$41,2,FALSE)</f>
        <v>1.8</v>
      </c>
      <c r="K6" s="9">
        <f>VLOOKUP(I$3,$BF$30:$BI$41,4,FALSE)</f>
        <v>0.60000000000000009</v>
      </c>
      <c r="L6" s="9">
        <f>I6*J6-K6</f>
        <v>1.4699999999999998</v>
      </c>
      <c r="M6" s="9">
        <v>1.1499999999999999</v>
      </c>
      <c r="N6" s="9">
        <f>VLOOKUP(M$3,$BF$30:$BG$41,2,FALSE)</f>
        <v>4.5</v>
      </c>
      <c r="O6" s="9">
        <f>VLOOKUP(M$3,$BF$30:$BI$41,4,FALSE)</f>
        <v>0.88000000000000012</v>
      </c>
      <c r="P6" s="9">
        <f>M6*N6-O6</f>
        <v>4.2949999999999999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>
        <v>1.1499999999999999</v>
      </c>
      <c r="AT6" s="9">
        <f t="shared" ref="AT6:AT11" si="0">VLOOKUP(AS$3,$BF$30:$BG$41,2,FALSE)</f>
        <v>7.2</v>
      </c>
      <c r="AU6" s="9">
        <f t="shared" ref="AU6:AU11" si="1">VLOOKUP(AS$3,$BF$30:$BI$41,4,FALSE)</f>
        <v>0.16000000000000003</v>
      </c>
      <c r="AV6" s="9">
        <f t="shared" ref="AV6:AV11" si="2">AS6*AT6-AU6</f>
        <v>8.1199999999999992</v>
      </c>
      <c r="AW6" s="9">
        <v>1.1499999999999999</v>
      </c>
      <c r="AX6" s="9">
        <f t="shared" ref="AX6:AX11" si="3">VLOOKUP(AW$3,$BF$30:$BG$41,2,FALSE)</f>
        <v>4.2</v>
      </c>
      <c r="AY6" s="9">
        <f t="shared" ref="AY6:AY11" si="4">VLOOKUP(AW$3,$BF$30:$BI$41,4,FALSE)</f>
        <v>0.24</v>
      </c>
      <c r="AZ6" s="9">
        <f t="shared" ref="AZ6:AZ11" si="5">AW6*AX6-AY6</f>
        <v>4.59</v>
      </c>
      <c r="BA6" s="9">
        <f t="shared" ref="BA6:BA11" si="6">SUM(H6,L6,P6,T6,X6,AB6,AF6,AJ6,AN6,AR6,AV6,AZ6)</f>
        <v>19.7</v>
      </c>
      <c r="BB6" s="10">
        <f t="shared" ref="BB6:BB11" si="7">BA6*0.393701</f>
        <v>7.7559097000000001</v>
      </c>
      <c r="BC6" s="9">
        <f>ROUND(D6*$B$1*0.01,1)</f>
        <v>191092.9</v>
      </c>
      <c r="BD6" s="14">
        <f t="shared" ref="BD6:BD11" si="8">ROUND(BB6*BC6/12,1)</f>
        <v>123508.3</v>
      </c>
      <c r="BE6" s="11"/>
      <c r="BF6" s="11"/>
      <c r="BG6" s="11"/>
      <c r="BH6" s="11"/>
      <c r="BI6" s="11"/>
    </row>
    <row r="7" spans="1:61" x14ac:dyDescent="0.25">
      <c r="A7" s="13" t="s">
        <v>2</v>
      </c>
      <c r="B7" s="9" t="s">
        <v>10</v>
      </c>
      <c r="C7" s="9">
        <v>11</v>
      </c>
      <c r="D7" s="9">
        <v>7</v>
      </c>
      <c r="E7" s="9"/>
      <c r="F7" s="9"/>
      <c r="G7" s="9"/>
      <c r="H7" s="10"/>
      <c r="I7" s="9">
        <v>1.25</v>
      </c>
      <c r="J7" s="9">
        <f>VLOOKUP(I$3,$BF$30:$BG$41,2,FALSE)</f>
        <v>1.8</v>
      </c>
      <c r="K7" s="9">
        <f>VLOOKUP(I$3,$BF$30:$BI$41,4,FALSE)</f>
        <v>0.60000000000000009</v>
      </c>
      <c r="L7" s="9">
        <f t="shared" ref="L7:L10" si="9">I7*J7-K7</f>
        <v>1.65</v>
      </c>
      <c r="M7" s="9">
        <v>1.25</v>
      </c>
      <c r="N7" s="9">
        <f>VLOOKUP(M$3,$BF$30:$BG$41,2,FALSE)</f>
        <v>4.5</v>
      </c>
      <c r="O7" s="9">
        <f>VLOOKUP(M$3,$BF$30:$BI$41,4,FALSE)</f>
        <v>0.88000000000000012</v>
      </c>
      <c r="P7" s="9">
        <f t="shared" ref="P7:P10" si="10">M7*N7-O7</f>
        <v>4.7450000000000001</v>
      </c>
      <c r="Q7" s="9">
        <v>1.25</v>
      </c>
      <c r="R7" s="9">
        <f>VLOOKUP(Q$3,$BF$30:$BG$41,2,FALSE)</f>
        <v>17.100000000000001</v>
      </c>
      <c r="S7" s="9">
        <f>VLOOKUP(Q$3,$BF$30:$BI$41,4,FALSE)</f>
        <v>0.4</v>
      </c>
      <c r="T7" s="9">
        <f t="shared" ref="T7" si="11">Q7*R7-S7</f>
        <v>20.975000000000001</v>
      </c>
      <c r="U7" s="9">
        <v>1.25</v>
      </c>
      <c r="V7" s="9">
        <f>VLOOKUP(U$3,$BF$30:$BG$41,2,FALSE)</f>
        <v>24</v>
      </c>
      <c r="W7" s="9">
        <f>VLOOKUP(U$3,$BF$30:$BI$41,4,FALSE)</f>
        <v>0.5</v>
      </c>
      <c r="X7" s="9">
        <f t="shared" ref="X7" si="12">U7*V7-W7</f>
        <v>29.5</v>
      </c>
      <c r="Y7" s="9">
        <v>1.25</v>
      </c>
      <c r="Z7" s="9">
        <f>VLOOKUP(Y$3,$BF$30:$BG$41,2,FALSE)</f>
        <v>22.5</v>
      </c>
      <c r="AA7" s="9">
        <f>VLOOKUP(Y$3,$BF$30:$BI$41,4,FALSE)</f>
        <v>0.8</v>
      </c>
      <c r="AB7" s="9">
        <f t="shared" ref="AB7" si="13">Y7*Z7-AA7</f>
        <v>27.324999999999999</v>
      </c>
      <c r="AC7" s="9">
        <v>1.25</v>
      </c>
      <c r="AD7" s="9">
        <f>VLOOKUP(AC$3,$BF$30:$BG$41,2,FALSE)</f>
        <v>19.5</v>
      </c>
      <c r="AE7" s="9">
        <f>VLOOKUP(AC$3,$BF$30:$BI$41,4,FALSE)</f>
        <v>4</v>
      </c>
      <c r="AF7" s="9">
        <f>AC7*AD7-AE7</f>
        <v>20.375</v>
      </c>
      <c r="AG7" s="9">
        <v>1.25</v>
      </c>
      <c r="AH7" s="9">
        <f>VLOOKUP(AG$3,$BF$30:$BG$41,2,FALSE)</f>
        <v>11.1</v>
      </c>
      <c r="AI7" s="9">
        <f>VLOOKUP(AG$3,$BF$30:$BI$41,4,FALSE)</f>
        <v>3.2</v>
      </c>
      <c r="AJ7" s="9">
        <f>AG7*AH7-AI7</f>
        <v>10.675000000000001</v>
      </c>
      <c r="AK7" s="9">
        <v>1.25</v>
      </c>
      <c r="AL7" s="9">
        <f>VLOOKUP(AK$3,$BF$30:$BG$41,2,FALSE)</f>
        <v>12.3</v>
      </c>
      <c r="AM7" s="9">
        <f>VLOOKUP(AK$3,$BF$30:$BI$41,4,FALSE)</f>
        <v>1.2000000000000002</v>
      </c>
      <c r="AN7" s="9">
        <f>AK7*AL7-AM7</f>
        <v>14.175000000000001</v>
      </c>
      <c r="AO7" s="9">
        <v>1.25</v>
      </c>
      <c r="AP7" s="9">
        <f>VLOOKUP(AO$3,$BF$30:$BG$41,2,FALSE)</f>
        <v>7.5</v>
      </c>
      <c r="AQ7" s="9">
        <f>VLOOKUP(AO$3,$BF$30:$BI$41,4,FALSE)</f>
        <v>0.30000000000000004</v>
      </c>
      <c r="AR7" s="9">
        <f>AO7*AP7-AQ7</f>
        <v>9.0749999999999993</v>
      </c>
      <c r="AS7" s="9">
        <v>1.25</v>
      </c>
      <c r="AT7" s="9">
        <f t="shared" si="0"/>
        <v>7.2</v>
      </c>
      <c r="AU7" s="9">
        <f t="shared" si="1"/>
        <v>0.16000000000000003</v>
      </c>
      <c r="AV7" s="9">
        <f t="shared" si="2"/>
        <v>8.84</v>
      </c>
      <c r="AW7" s="9">
        <v>1.25</v>
      </c>
      <c r="AX7" s="9">
        <f t="shared" si="3"/>
        <v>4.2</v>
      </c>
      <c r="AY7" s="9">
        <f t="shared" si="4"/>
        <v>0.24</v>
      </c>
      <c r="AZ7" s="9">
        <f t="shared" si="5"/>
        <v>5.01</v>
      </c>
      <c r="BA7" s="9">
        <f t="shared" si="6"/>
        <v>152.345</v>
      </c>
      <c r="BB7" s="10">
        <f t="shared" si="7"/>
        <v>59.978378845000002</v>
      </c>
      <c r="BC7" s="9">
        <f t="shared" ref="BC6:BC11" si="14">ROUND(D7*$B$1*0.01,1)</f>
        <v>33441.300000000003</v>
      </c>
      <c r="BD7" s="14">
        <f t="shared" si="8"/>
        <v>167146.20000000001</v>
      </c>
      <c r="BE7" s="11"/>
      <c r="BF7" s="11"/>
      <c r="BG7" s="11"/>
      <c r="BH7" s="11"/>
      <c r="BI7" s="11"/>
    </row>
    <row r="8" spans="1:61" x14ac:dyDescent="0.25">
      <c r="A8" s="13" t="s">
        <v>3</v>
      </c>
      <c r="B8" s="9" t="s">
        <v>11</v>
      </c>
      <c r="C8" s="9">
        <v>5</v>
      </c>
      <c r="D8" s="9">
        <v>10</v>
      </c>
      <c r="E8" s="9">
        <v>1.05</v>
      </c>
      <c r="F8" s="9">
        <f>VLOOKUP(E$3,$BF$30:$BG$41,2,FALSE)</f>
        <v>1.5</v>
      </c>
      <c r="G8" s="9">
        <f>VLOOKUP(E$3,$BF$30:$BI$41,4,FALSE)</f>
        <v>0.5</v>
      </c>
      <c r="H8" s="10">
        <f t="shared" ref="H8:H10" si="15">E8*F8-G8</f>
        <v>1.0750000000000002</v>
      </c>
      <c r="I8" s="9">
        <v>1.05</v>
      </c>
      <c r="J8" s="9">
        <f>VLOOKUP(I$3,$BF$30:$BG$41,2,FALSE)</f>
        <v>1.8</v>
      </c>
      <c r="K8" s="9">
        <f>VLOOKUP(I$3,$BF$30:$BI$41,4,FALSE)</f>
        <v>0.60000000000000009</v>
      </c>
      <c r="L8" s="9">
        <f t="shared" si="9"/>
        <v>1.29</v>
      </c>
      <c r="M8" s="9">
        <v>1.05</v>
      </c>
      <c r="N8" s="9">
        <f>VLOOKUP(M$3,$BF$30:$BG$41,2,FALSE)</f>
        <v>4.5</v>
      </c>
      <c r="O8" s="9">
        <f>VLOOKUP(M$3,$BF$30:$BI$41,4,FALSE)</f>
        <v>0.88000000000000012</v>
      </c>
      <c r="P8" s="9">
        <f t="shared" si="10"/>
        <v>3.8450000000000006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>
        <v>1.05</v>
      </c>
      <c r="AT8" s="9">
        <f t="shared" si="0"/>
        <v>7.2</v>
      </c>
      <c r="AU8" s="9">
        <f t="shared" si="1"/>
        <v>0.16000000000000003</v>
      </c>
      <c r="AV8" s="9">
        <f t="shared" si="2"/>
        <v>7.4</v>
      </c>
      <c r="AW8" s="9">
        <v>1.05</v>
      </c>
      <c r="AX8" s="9">
        <f t="shared" si="3"/>
        <v>4.2</v>
      </c>
      <c r="AY8" s="9">
        <f t="shared" si="4"/>
        <v>0.24</v>
      </c>
      <c r="AZ8" s="9">
        <f t="shared" si="5"/>
        <v>4.17</v>
      </c>
      <c r="BA8" s="9">
        <f t="shared" si="6"/>
        <v>17.78</v>
      </c>
      <c r="BB8" s="10">
        <f t="shared" si="7"/>
        <v>7.000003780000001</v>
      </c>
      <c r="BC8" s="9">
        <f t="shared" si="14"/>
        <v>47773.2</v>
      </c>
      <c r="BD8" s="14">
        <f t="shared" si="8"/>
        <v>27867.7</v>
      </c>
      <c r="BE8" s="11"/>
      <c r="BF8" s="11"/>
      <c r="BG8" s="11"/>
      <c r="BH8" s="11"/>
      <c r="BI8" s="11"/>
    </row>
    <row r="9" spans="1:61" x14ac:dyDescent="0.25">
      <c r="A9" s="13" t="s">
        <v>100</v>
      </c>
      <c r="B9" s="9" t="s">
        <v>11</v>
      </c>
      <c r="C9" s="9">
        <v>5</v>
      </c>
      <c r="D9" s="9">
        <v>5</v>
      </c>
      <c r="E9" s="9">
        <v>1.1499999999999999</v>
      </c>
      <c r="F9" s="9">
        <f>VLOOKUP(E$3,$BF$30:$BG$41,2,FALSE)</f>
        <v>1.5</v>
      </c>
      <c r="G9" s="9">
        <f>VLOOKUP(E$3,$BF$30:$BI$41,4,FALSE)</f>
        <v>0.5</v>
      </c>
      <c r="H9" s="10">
        <f t="shared" si="15"/>
        <v>1.2249999999999999</v>
      </c>
      <c r="I9" s="9">
        <v>1.1499999999999999</v>
      </c>
      <c r="J9" s="9">
        <f>VLOOKUP(I$3,$BF$30:$BG$41,2,FALSE)</f>
        <v>1.8</v>
      </c>
      <c r="K9" s="9">
        <f>VLOOKUP(I$3,$BF$30:$BI$41,4,FALSE)</f>
        <v>0.60000000000000009</v>
      </c>
      <c r="L9" s="9">
        <f t="shared" si="9"/>
        <v>1.4699999999999998</v>
      </c>
      <c r="M9" s="9">
        <v>1.1499999999999999</v>
      </c>
      <c r="N9" s="9">
        <f>VLOOKUP(M$3,$BF$30:$BG$41,2,FALSE)</f>
        <v>4.5</v>
      </c>
      <c r="O9" s="9">
        <f>VLOOKUP(M$3,$BF$30:$BI$41,4,FALSE)</f>
        <v>0.88000000000000012</v>
      </c>
      <c r="P9" s="9">
        <f t="shared" si="10"/>
        <v>4.2949999999999999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>
        <v>1.1499999999999999</v>
      </c>
      <c r="AT9" s="9">
        <f t="shared" si="0"/>
        <v>7.2</v>
      </c>
      <c r="AU9" s="9">
        <f t="shared" si="1"/>
        <v>0.16000000000000003</v>
      </c>
      <c r="AV9" s="9">
        <f t="shared" si="2"/>
        <v>8.1199999999999992</v>
      </c>
      <c r="AW9" s="9">
        <v>1.1499999999999999</v>
      </c>
      <c r="AX9" s="9">
        <f t="shared" si="3"/>
        <v>4.2</v>
      </c>
      <c r="AY9" s="9">
        <f t="shared" si="4"/>
        <v>0.24</v>
      </c>
      <c r="AZ9" s="9">
        <f t="shared" si="5"/>
        <v>4.59</v>
      </c>
      <c r="BA9" s="9">
        <f t="shared" si="6"/>
        <v>19.7</v>
      </c>
      <c r="BB9" s="10">
        <f t="shared" si="7"/>
        <v>7.7559097000000001</v>
      </c>
      <c r="BC9" s="9">
        <f t="shared" si="14"/>
        <v>23886.6</v>
      </c>
      <c r="BD9" s="14">
        <f t="shared" si="8"/>
        <v>15438.5</v>
      </c>
      <c r="BE9" s="11"/>
      <c r="BF9" s="11"/>
      <c r="BG9" s="11"/>
      <c r="BH9" s="11"/>
      <c r="BI9" s="11"/>
    </row>
    <row r="10" spans="1:61" x14ac:dyDescent="0.25">
      <c r="A10" s="13" t="s">
        <v>4</v>
      </c>
      <c r="B10" s="9" t="s">
        <v>11</v>
      </c>
      <c r="C10" s="9">
        <v>5</v>
      </c>
      <c r="D10" s="9">
        <v>1</v>
      </c>
      <c r="E10" s="9">
        <v>1.2</v>
      </c>
      <c r="F10" s="9">
        <f>VLOOKUP(E$3,$BF$30:$BG$41,2,FALSE)</f>
        <v>1.5</v>
      </c>
      <c r="G10" s="9">
        <f>VLOOKUP(E$3,$BF$30:$BI$41,4,FALSE)</f>
        <v>0.5</v>
      </c>
      <c r="H10" s="10">
        <f t="shared" si="15"/>
        <v>1.2999999999999998</v>
      </c>
      <c r="I10" s="9">
        <v>1.2</v>
      </c>
      <c r="J10" s="9">
        <f>VLOOKUP(I$3,$BF$30:$BG$41,2,FALSE)</f>
        <v>1.8</v>
      </c>
      <c r="K10" s="9">
        <f>VLOOKUP(I$3,$BF$30:$BI$41,4,FALSE)</f>
        <v>0.60000000000000009</v>
      </c>
      <c r="L10" s="9">
        <f t="shared" si="9"/>
        <v>1.56</v>
      </c>
      <c r="M10" s="9">
        <v>1.2</v>
      </c>
      <c r="N10" s="9">
        <f>VLOOKUP(M$3,$BF$30:$BG$41,2,FALSE)</f>
        <v>4.5</v>
      </c>
      <c r="O10" s="9">
        <f>VLOOKUP(M$3,$BF$30:$BI$41,4,FALSE)</f>
        <v>0.88000000000000012</v>
      </c>
      <c r="P10" s="9">
        <f t="shared" si="10"/>
        <v>4.5199999999999996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>
        <v>1.2</v>
      </c>
      <c r="AT10" s="9">
        <f t="shared" si="0"/>
        <v>7.2</v>
      </c>
      <c r="AU10" s="9">
        <f t="shared" si="1"/>
        <v>0.16000000000000003</v>
      </c>
      <c r="AV10" s="9">
        <f t="shared" si="2"/>
        <v>8.48</v>
      </c>
      <c r="AW10" s="9">
        <v>1.2</v>
      </c>
      <c r="AX10" s="9">
        <f t="shared" si="3"/>
        <v>4.2</v>
      </c>
      <c r="AY10" s="9">
        <f t="shared" si="4"/>
        <v>0.24</v>
      </c>
      <c r="AZ10" s="9">
        <f t="shared" si="5"/>
        <v>4.8</v>
      </c>
      <c r="BA10" s="9">
        <f t="shared" si="6"/>
        <v>20.66</v>
      </c>
      <c r="BB10" s="10">
        <f t="shared" si="7"/>
        <v>8.1338626600000001</v>
      </c>
      <c r="BC10" s="9">
        <f t="shared" si="14"/>
        <v>4777.3</v>
      </c>
      <c r="BD10" s="14">
        <f t="shared" si="8"/>
        <v>3238.2</v>
      </c>
      <c r="BE10" s="11"/>
      <c r="BF10" s="11"/>
      <c r="BG10" s="11"/>
      <c r="BH10" s="11"/>
      <c r="BI10" s="11"/>
    </row>
    <row r="11" spans="1:61" x14ac:dyDescent="0.25">
      <c r="A11" s="13" t="s">
        <v>5</v>
      </c>
      <c r="B11" s="9" t="s">
        <v>12</v>
      </c>
      <c r="C11" s="9">
        <v>3</v>
      </c>
      <c r="D11" s="9">
        <v>5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>
        <v>1.1499999999999999</v>
      </c>
      <c r="AP11" s="9">
        <f>VLOOKUP(AO$3,$BF$30:$BG$41,2,FALSE)</f>
        <v>7.5</v>
      </c>
      <c r="AQ11" s="9">
        <f>VLOOKUP(AO$3,$BF$30:$BI$41,4,FALSE)</f>
        <v>0.30000000000000004</v>
      </c>
      <c r="AR11" s="9">
        <f>AO11*AP11-AQ11</f>
        <v>8.3249999999999993</v>
      </c>
      <c r="AS11" s="9">
        <v>1.1499999999999999</v>
      </c>
      <c r="AT11" s="9">
        <f t="shared" si="0"/>
        <v>7.2</v>
      </c>
      <c r="AU11" s="9">
        <f t="shared" si="1"/>
        <v>0.16000000000000003</v>
      </c>
      <c r="AV11" s="9">
        <f t="shared" si="2"/>
        <v>8.1199999999999992</v>
      </c>
      <c r="AW11" s="9">
        <v>1.1499999999999999</v>
      </c>
      <c r="AX11" s="9">
        <f t="shared" si="3"/>
        <v>4.2</v>
      </c>
      <c r="AY11" s="9">
        <f t="shared" si="4"/>
        <v>0.24</v>
      </c>
      <c r="AZ11" s="9">
        <f t="shared" si="5"/>
        <v>4.59</v>
      </c>
      <c r="BA11" s="9">
        <f t="shared" si="6"/>
        <v>21.035</v>
      </c>
      <c r="BB11" s="10">
        <f t="shared" si="7"/>
        <v>8.2815005350000011</v>
      </c>
      <c r="BC11" s="9">
        <f t="shared" si="14"/>
        <v>23886.6</v>
      </c>
      <c r="BD11" s="14">
        <f t="shared" si="8"/>
        <v>16484.7</v>
      </c>
      <c r="BE11" s="11"/>
      <c r="BF11" s="11"/>
      <c r="BG11" s="11"/>
      <c r="BH11" s="11"/>
      <c r="BI11" s="11"/>
    </row>
    <row r="12" spans="1:61" ht="15.7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 t="s">
        <v>103</v>
      </c>
      <c r="BD12" s="17">
        <f>SUM(BD6:BD11)</f>
        <v>353683.60000000003</v>
      </c>
      <c r="BE12" s="11"/>
      <c r="BF12" s="11"/>
      <c r="BG12" s="11"/>
      <c r="BH12" s="11"/>
      <c r="BI12" s="11"/>
    </row>
    <row r="13" spans="1:6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102"/>
      <c r="BF13" s="102"/>
      <c r="BG13" s="102"/>
      <c r="BH13" s="102"/>
      <c r="BI13" s="102"/>
    </row>
    <row r="14" spans="1:61" ht="15.75" thickBot="1" x14ac:dyDescent="0.3">
      <c r="BE14" s="11"/>
      <c r="BF14" s="11"/>
      <c r="BG14" s="11"/>
      <c r="BH14" s="11"/>
      <c r="BI14" s="11"/>
    </row>
    <row r="15" spans="1:61" ht="18.75" x14ac:dyDescent="0.3">
      <c r="A15" s="137" t="s">
        <v>21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9"/>
      <c r="BE15" s="20"/>
      <c r="BF15" s="20"/>
      <c r="BG15" s="20"/>
      <c r="BH15" s="20"/>
      <c r="BI15" s="20"/>
    </row>
    <row r="16" spans="1:61" ht="29.25" x14ac:dyDescent="0.25">
      <c r="A16" s="22" t="s">
        <v>6</v>
      </c>
      <c r="B16" s="23" t="s">
        <v>7</v>
      </c>
      <c r="C16" s="24" t="s">
        <v>7</v>
      </c>
      <c r="D16" s="24" t="s">
        <v>8</v>
      </c>
      <c r="E16" s="128" t="s">
        <v>25</v>
      </c>
      <c r="F16" s="128"/>
      <c r="G16" s="128"/>
      <c r="H16" s="128"/>
      <c r="I16" s="128" t="s">
        <v>26</v>
      </c>
      <c r="J16" s="128"/>
      <c r="K16" s="128"/>
      <c r="L16" s="128"/>
      <c r="M16" s="128" t="s">
        <v>27</v>
      </c>
      <c r="N16" s="128"/>
      <c r="O16" s="128"/>
      <c r="P16" s="128"/>
      <c r="Q16" s="128" t="s">
        <v>28</v>
      </c>
      <c r="R16" s="128"/>
      <c r="S16" s="128"/>
      <c r="T16" s="128"/>
      <c r="U16" s="128" t="s">
        <v>29</v>
      </c>
      <c r="V16" s="128"/>
      <c r="W16" s="128"/>
      <c r="X16" s="128"/>
      <c r="Y16" s="128" t="s">
        <v>30</v>
      </c>
      <c r="Z16" s="128"/>
      <c r="AA16" s="128"/>
      <c r="AB16" s="128"/>
      <c r="AC16" s="128" t="s">
        <v>31</v>
      </c>
      <c r="AD16" s="128"/>
      <c r="AE16" s="128"/>
      <c r="AF16" s="128"/>
      <c r="AG16" s="128" t="s">
        <v>32</v>
      </c>
      <c r="AH16" s="128"/>
      <c r="AI16" s="128"/>
      <c r="AJ16" s="128"/>
      <c r="AK16" s="128" t="s">
        <v>33</v>
      </c>
      <c r="AL16" s="128"/>
      <c r="AM16" s="128"/>
      <c r="AN16" s="128"/>
      <c r="AO16" s="128" t="s">
        <v>34</v>
      </c>
      <c r="AP16" s="128"/>
      <c r="AQ16" s="128"/>
      <c r="AR16" s="128"/>
      <c r="AS16" s="128" t="s">
        <v>35</v>
      </c>
      <c r="AT16" s="128"/>
      <c r="AU16" s="128"/>
      <c r="AV16" s="128"/>
      <c r="AW16" s="128" t="s">
        <v>36</v>
      </c>
      <c r="AX16" s="128"/>
      <c r="AY16" s="128"/>
      <c r="AZ16" s="128"/>
      <c r="BA16" s="128" t="s">
        <v>94</v>
      </c>
      <c r="BB16" s="128"/>
      <c r="BC16" s="24" t="s">
        <v>19</v>
      </c>
      <c r="BD16" s="25" t="s">
        <v>20</v>
      </c>
      <c r="BE16" s="12"/>
      <c r="BF16" s="12"/>
      <c r="BG16" s="11"/>
      <c r="BH16" s="11"/>
      <c r="BI16" s="11"/>
    </row>
    <row r="17" spans="1:70" x14ac:dyDescent="0.25">
      <c r="A17" s="22"/>
      <c r="B17" s="23"/>
      <c r="C17" s="24"/>
      <c r="D17" s="24"/>
      <c r="E17" s="23" t="s">
        <v>23</v>
      </c>
      <c r="F17" s="23" t="s">
        <v>24</v>
      </c>
      <c r="G17" s="23" t="s">
        <v>102</v>
      </c>
      <c r="H17" s="23" t="s">
        <v>99</v>
      </c>
      <c r="I17" s="23" t="s">
        <v>23</v>
      </c>
      <c r="J17" s="23" t="s">
        <v>24</v>
      </c>
      <c r="K17" s="23" t="s">
        <v>102</v>
      </c>
      <c r="L17" s="23" t="s">
        <v>99</v>
      </c>
      <c r="M17" s="23" t="s">
        <v>23</v>
      </c>
      <c r="N17" s="23" t="s">
        <v>24</v>
      </c>
      <c r="O17" s="23" t="s">
        <v>102</v>
      </c>
      <c r="P17" s="23" t="s">
        <v>99</v>
      </c>
      <c r="Q17" s="23" t="s">
        <v>23</v>
      </c>
      <c r="R17" s="23" t="s">
        <v>24</v>
      </c>
      <c r="S17" s="23" t="s">
        <v>102</v>
      </c>
      <c r="T17" s="23" t="s">
        <v>99</v>
      </c>
      <c r="U17" s="23" t="s">
        <v>23</v>
      </c>
      <c r="V17" s="23" t="s">
        <v>24</v>
      </c>
      <c r="W17" s="23" t="s">
        <v>102</v>
      </c>
      <c r="X17" s="23" t="s">
        <v>99</v>
      </c>
      <c r="Y17" s="23" t="s">
        <v>23</v>
      </c>
      <c r="Z17" s="23" t="s">
        <v>24</v>
      </c>
      <c r="AA17" s="23" t="s">
        <v>102</v>
      </c>
      <c r="AB17" s="23" t="s">
        <v>99</v>
      </c>
      <c r="AC17" s="23" t="s">
        <v>23</v>
      </c>
      <c r="AD17" s="23" t="s">
        <v>24</v>
      </c>
      <c r="AE17" s="23" t="s">
        <v>102</v>
      </c>
      <c r="AF17" s="23" t="s">
        <v>99</v>
      </c>
      <c r="AG17" s="23" t="s">
        <v>23</v>
      </c>
      <c r="AH17" s="23" t="s">
        <v>24</v>
      </c>
      <c r="AI17" s="23" t="s">
        <v>102</v>
      </c>
      <c r="AJ17" s="23" t="s">
        <v>99</v>
      </c>
      <c r="AK17" s="23" t="s">
        <v>23</v>
      </c>
      <c r="AL17" s="23" t="s">
        <v>24</v>
      </c>
      <c r="AM17" s="23" t="s">
        <v>102</v>
      </c>
      <c r="AN17" s="23" t="s">
        <v>99</v>
      </c>
      <c r="AO17" s="23" t="s">
        <v>23</v>
      </c>
      <c r="AP17" s="23" t="s">
        <v>24</v>
      </c>
      <c r="AQ17" s="23" t="s">
        <v>102</v>
      </c>
      <c r="AR17" s="23" t="s">
        <v>99</v>
      </c>
      <c r="AS17" s="23" t="s">
        <v>23</v>
      </c>
      <c r="AT17" s="23" t="s">
        <v>24</v>
      </c>
      <c r="AU17" s="23" t="s">
        <v>102</v>
      </c>
      <c r="AV17" s="23" t="s">
        <v>99</v>
      </c>
      <c r="AW17" s="23" t="s">
        <v>23</v>
      </c>
      <c r="AX17" s="23" t="s">
        <v>24</v>
      </c>
      <c r="AY17" s="23" t="s">
        <v>102</v>
      </c>
      <c r="AZ17" s="23" t="s">
        <v>99</v>
      </c>
      <c r="BA17" s="23"/>
      <c r="BB17" s="23"/>
      <c r="BC17" s="24"/>
      <c r="BD17" s="25"/>
      <c r="BE17" s="12"/>
      <c r="BF17" s="12"/>
      <c r="BG17" s="12"/>
      <c r="BH17" s="21"/>
      <c r="BI17" s="21"/>
    </row>
    <row r="18" spans="1:70" x14ac:dyDescent="0.25">
      <c r="A18" s="26"/>
      <c r="B18" s="27"/>
      <c r="C18" s="27" t="s">
        <v>95</v>
      </c>
      <c r="D18" s="27" t="s">
        <v>101</v>
      </c>
      <c r="E18" s="27"/>
      <c r="F18" s="27" t="s">
        <v>93</v>
      </c>
      <c r="G18" s="27" t="s">
        <v>93</v>
      </c>
      <c r="H18" s="27" t="s">
        <v>93</v>
      </c>
      <c r="I18" s="27"/>
      <c r="J18" s="27" t="s">
        <v>93</v>
      </c>
      <c r="K18" s="27" t="s">
        <v>93</v>
      </c>
      <c r="L18" s="27" t="s">
        <v>93</v>
      </c>
      <c r="M18" s="27"/>
      <c r="N18" s="27" t="s">
        <v>93</v>
      </c>
      <c r="O18" s="27" t="s">
        <v>93</v>
      </c>
      <c r="P18" s="27" t="s">
        <v>93</v>
      </c>
      <c r="Q18" s="27"/>
      <c r="R18" s="27" t="s">
        <v>93</v>
      </c>
      <c r="S18" s="27" t="s">
        <v>93</v>
      </c>
      <c r="T18" s="27" t="s">
        <v>93</v>
      </c>
      <c r="U18" s="27"/>
      <c r="V18" s="27" t="s">
        <v>93</v>
      </c>
      <c r="W18" s="27" t="s">
        <v>93</v>
      </c>
      <c r="X18" s="27" t="s">
        <v>93</v>
      </c>
      <c r="Y18" s="27"/>
      <c r="Z18" s="27" t="s">
        <v>93</v>
      </c>
      <c r="AA18" s="27" t="s">
        <v>93</v>
      </c>
      <c r="AB18" s="27" t="s">
        <v>93</v>
      </c>
      <c r="AC18" s="27"/>
      <c r="AD18" s="27" t="s">
        <v>93</v>
      </c>
      <c r="AE18" s="27" t="s">
        <v>93</v>
      </c>
      <c r="AF18" s="27" t="s">
        <v>93</v>
      </c>
      <c r="AG18" s="27"/>
      <c r="AH18" s="27" t="s">
        <v>93</v>
      </c>
      <c r="AI18" s="27" t="s">
        <v>93</v>
      </c>
      <c r="AJ18" s="27" t="s">
        <v>93</v>
      </c>
      <c r="AK18" s="27"/>
      <c r="AL18" s="27" t="s">
        <v>93</v>
      </c>
      <c r="AM18" s="27" t="s">
        <v>93</v>
      </c>
      <c r="AN18" s="27" t="s">
        <v>93</v>
      </c>
      <c r="AO18" s="27"/>
      <c r="AP18" s="27" t="s">
        <v>93</v>
      </c>
      <c r="AQ18" s="27" t="s">
        <v>93</v>
      </c>
      <c r="AR18" s="27" t="s">
        <v>93</v>
      </c>
      <c r="AS18" s="27"/>
      <c r="AT18" s="27" t="s">
        <v>93</v>
      </c>
      <c r="AU18" s="27" t="s">
        <v>93</v>
      </c>
      <c r="AV18" s="27" t="s">
        <v>93</v>
      </c>
      <c r="AW18" s="27"/>
      <c r="AX18" s="27" t="s">
        <v>93</v>
      </c>
      <c r="AY18" s="27" t="s">
        <v>93</v>
      </c>
      <c r="AZ18" s="27" t="s">
        <v>93</v>
      </c>
      <c r="BA18" s="27" t="s">
        <v>93</v>
      </c>
      <c r="BB18" s="27" t="s">
        <v>52</v>
      </c>
      <c r="BC18" s="27" t="s">
        <v>48</v>
      </c>
      <c r="BD18" s="28" t="s">
        <v>50</v>
      </c>
      <c r="BE18" s="12"/>
      <c r="BF18" s="12"/>
      <c r="BG18" s="12"/>
      <c r="BH18" s="21"/>
      <c r="BI18" s="21"/>
    </row>
    <row r="19" spans="1:70" x14ac:dyDescent="0.25">
      <c r="A19" s="13" t="s">
        <v>13</v>
      </c>
      <c r="B19" s="9" t="s">
        <v>16</v>
      </c>
      <c r="C19" s="9">
        <v>5</v>
      </c>
      <c r="D19" s="9">
        <v>20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>
        <v>1.2</v>
      </c>
      <c r="Z19" s="9">
        <v>22.5</v>
      </c>
      <c r="AA19" s="9">
        <v>0.8</v>
      </c>
      <c r="AB19" s="9">
        <f>Y19*Z19-AA19</f>
        <v>26.2</v>
      </c>
      <c r="AC19" s="9">
        <v>1.2</v>
      </c>
      <c r="AD19" s="9">
        <v>19.5</v>
      </c>
      <c r="AE19" s="9">
        <v>4</v>
      </c>
      <c r="AF19" s="9">
        <f>AC19*AD19-AE19</f>
        <v>19.399999999999999</v>
      </c>
      <c r="AG19" s="9">
        <v>1.2</v>
      </c>
      <c r="AH19" s="9">
        <v>11.1</v>
      </c>
      <c r="AI19" s="9">
        <v>3.2</v>
      </c>
      <c r="AJ19" s="9">
        <f>AG19*AH19-AI19</f>
        <v>10.119999999999997</v>
      </c>
      <c r="AK19" s="9">
        <v>1.2</v>
      </c>
      <c r="AL19" s="9">
        <v>12.3</v>
      </c>
      <c r="AM19" s="9">
        <v>1.2</v>
      </c>
      <c r="AN19" s="9">
        <f>AK19*AL19-AM19</f>
        <v>13.56</v>
      </c>
      <c r="AO19" s="9">
        <v>1.2</v>
      </c>
      <c r="AP19" s="9">
        <v>7.5</v>
      </c>
      <c r="AQ19" s="9">
        <v>0.3</v>
      </c>
      <c r="AR19" s="9">
        <f>AO19*AP19-AQ19</f>
        <v>8.6999999999999993</v>
      </c>
      <c r="AS19" s="9"/>
      <c r="AT19" s="9"/>
      <c r="AU19" s="9"/>
      <c r="AV19" s="9"/>
      <c r="AW19" s="9"/>
      <c r="AX19" s="9"/>
      <c r="AY19" s="9"/>
      <c r="AZ19" s="9"/>
      <c r="BA19" s="9">
        <f>SUM(H19,L19,P19,T19,X19,AB19,AF19,AJ19,AN19,AR19,AV19,AZ19)</f>
        <v>77.97999999999999</v>
      </c>
      <c r="BB19" s="10">
        <f>BA19*0.393701</f>
        <v>30.700803979999996</v>
      </c>
      <c r="BC19" s="9">
        <f>ROUND(D19*$B$1*0.01,1)</f>
        <v>95546.5</v>
      </c>
      <c r="BD19" s="14">
        <f>ROUND(BB19*BC19/12,1)</f>
        <v>244446.2</v>
      </c>
      <c r="BE19" s="11"/>
      <c r="BF19" s="11"/>
      <c r="BG19" s="11"/>
      <c r="BH19" s="11"/>
      <c r="BI19" s="11"/>
    </row>
    <row r="20" spans="1:70" x14ac:dyDescent="0.25">
      <c r="A20" s="13" t="s">
        <v>5</v>
      </c>
      <c r="B20" s="9" t="s">
        <v>17</v>
      </c>
      <c r="C20" s="9">
        <v>6</v>
      </c>
      <c r="D20" s="9">
        <v>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1.1499999999999999</v>
      </c>
      <c r="R20" s="9">
        <f>VLOOKUP(Q$3,$BF$30:$BG$41,2,FALSE)</f>
        <v>17.100000000000001</v>
      </c>
      <c r="S20" s="9">
        <f>VLOOKUP(Q$3,$BF$30:$BI$41,4,FALSE)</f>
        <v>0.4</v>
      </c>
      <c r="T20" s="9">
        <f>Q20*R20-S20</f>
        <v>19.265000000000001</v>
      </c>
      <c r="U20" s="9">
        <v>1.1499999999999999</v>
      </c>
      <c r="V20" s="9">
        <v>24</v>
      </c>
      <c r="W20" s="9">
        <v>0.5</v>
      </c>
      <c r="X20" s="9">
        <f>U20*V20-W20</f>
        <v>27.099999999999998</v>
      </c>
      <c r="Y20" s="9">
        <v>1.1499999999999999</v>
      </c>
      <c r="Z20" s="9">
        <v>22.5</v>
      </c>
      <c r="AA20" s="9">
        <v>0.8</v>
      </c>
      <c r="AB20" s="9">
        <f>Y20*Z20-AA20</f>
        <v>25.074999999999996</v>
      </c>
      <c r="AC20" s="9">
        <v>1.1499999999999999</v>
      </c>
      <c r="AD20" s="9">
        <v>19.5</v>
      </c>
      <c r="AE20" s="9">
        <v>4</v>
      </c>
      <c r="AF20" s="9">
        <f>AC20*AD20-AE20</f>
        <v>18.424999999999997</v>
      </c>
      <c r="AG20" s="9">
        <v>1.1499999999999999</v>
      </c>
      <c r="AH20" s="9">
        <v>11.1</v>
      </c>
      <c r="AI20" s="9">
        <v>3.2</v>
      </c>
      <c r="AJ20" s="9">
        <f>AG20*AH20-AI20</f>
        <v>9.5649999999999977</v>
      </c>
      <c r="AK20" s="9">
        <v>1.1499999999999999</v>
      </c>
      <c r="AL20" s="9">
        <v>12.3</v>
      </c>
      <c r="AM20" s="9">
        <v>1.2</v>
      </c>
      <c r="AN20" s="9">
        <f>AK20*AL20-AM20</f>
        <v>12.945</v>
      </c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>
        <f>SUM(H20,L20,P20,T20,X20,AB20,AF20,AJ20,AN20,AR20,AV20,AZ20)</f>
        <v>112.375</v>
      </c>
      <c r="BB20" s="10">
        <f>BA20*0.393701</f>
        <v>44.242149875000003</v>
      </c>
      <c r="BC20" s="9">
        <f>ROUND(D20*$B$1*0.01,1)</f>
        <v>38218.6</v>
      </c>
      <c r="BD20" s="14">
        <f>ROUND(BB20*BC20/12,1)</f>
        <v>140906.1</v>
      </c>
      <c r="BE20" s="11"/>
      <c r="BF20" s="11"/>
      <c r="BG20" s="11"/>
      <c r="BH20" s="11"/>
      <c r="BI20" s="11"/>
    </row>
    <row r="21" spans="1:70" x14ac:dyDescent="0.25">
      <c r="A21" s="13" t="s">
        <v>4</v>
      </c>
      <c r="B21" s="9" t="s">
        <v>17</v>
      </c>
      <c r="C21" s="9">
        <v>6</v>
      </c>
      <c r="D21" s="9">
        <v>10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1.2</v>
      </c>
      <c r="R21" s="9">
        <f>VLOOKUP(Q$3,$BF$30:$BG$41,2,FALSE)</f>
        <v>17.100000000000001</v>
      </c>
      <c r="S21" s="9">
        <f>VLOOKUP(Q$3,$BF$30:$BI$41,4,FALSE)</f>
        <v>0.4</v>
      </c>
      <c r="T21" s="9">
        <f>Q21*R21-S21</f>
        <v>20.12</v>
      </c>
      <c r="U21" s="9">
        <v>1.2</v>
      </c>
      <c r="V21" s="9">
        <v>24</v>
      </c>
      <c r="W21" s="9">
        <v>0.5</v>
      </c>
      <c r="X21" s="9">
        <f>U21*V21-W21</f>
        <v>28.299999999999997</v>
      </c>
      <c r="Y21" s="9">
        <v>1.2</v>
      </c>
      <c r="Z21" s="9">
        <v>22.5</v>
      </c>
      <c r="AA21" s="9">
        <v>0.8</v>
      </c>
      <c r="AB21" s="9">
        <f>Y21*Z21-AA21</f>
        <v>26.2</v>
      </c>
      <c r="AC21" s="9">
        <v>1.2</v>
      </c>
      <c r="AD21" s="9">
        <v>19.5</v>
      </c>
      <c r="AE21" s="9">
        <v>4</v>
      </c>
      <c r="AF21" s="9">
        <f>AC21*AD21-AE21</f>
        <v>19.399999999999999</v>
      </c>
      <c r="AG21" s="9">
        <v>1.2</v>
      </c>
      <c r="AH21" s="9">
        <v>11.1</v>
      </c>
      <c r="AI21" s="9">
        <v>3.2</v>
      </c>
      <c r="AJ21" s="9">
        <f>AG21*AH21-AI21</f>
        <v>10.119999999999997</v>
      </c>
      <c r="AK21" s="9">
        <v>1.2</v>
      </c>
      <c r="AL21" s="9">
        <v>12.3</v>
      </c>
      <c r="AM21" s="9">
        <v>1.2</v>
      </c>
      <c r="AN21" s="9">
        <f>AK21*AL21-AM21</f>
        <v>13.56</v>
      </c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>
        <f>SUM(H21,L21,P21,T21,X21,AB21,AF21,AJ21,AN21,AR21,AV21,AZ21)</f>
        <v>117.70000000000002</v>
      </c>
      <c r="BB21" s="10">
        <f>BA21*0.393701</f>
        <v>46.338607700000011</v>
      </c>
      <c r="BC21" s="9">
        <f>ROUND(D21*$B$1*0.01,1)</f>
        <v>47773.2</v>
      </c>
      <c r="BD21" s="14">
        <f>ROUND(BB21*BC21/12,1)</f>
        <v>184478.6</v>
      </c>
      <c r="BE21" s="11"/>
      <c r="BF21" s="11"/>
      <c r="BG21" s="11"/>
      <c r="BH21" s="11"/>
      <c r="BI21" s="11"/>
    </row>
    <row r="22" spans="1:70" x14ac:dyDescent="0.25">
      <c r="A22" s="13" t="s">
        <v>14</v>
      </c>
      <c r="B22" s="9" t="s">
        <v>17</v>
      </c>
      <c r="C22" s="9">
        <v>6</v>
      </c>
      <c r="D22" s="9"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1.2</v>
      </c>
      <c r="R22" s="9">
        <f>VLOOKUP(Q$3,$BF$30:$BG$41,2,FALSE)</f>
        <v>17.100000000000001</v>
      </c>
      <c r="S22" s="9">
        <f>VLOOKUP(Q$3,$BF$30:$BI$41,4,FALSE)</f>
        <v>0.4</v>
      </c>
      <c r="T22" s="9">
        <f>Q22*R22-S22</f>
        <v>20.12</v>
      </c>
      <c r="U22" s="9">
        <v>1.2</v>
      </c>
      <c r="V22" s="9">
        <v>24</v>
      </c>
      <c r="W22" s="9">
        <v>0.5</v>
      </c>
      <c r="X22" s="9">
        <f>U22*V22-W22</f>
        <v>28.299999999999997</v>
      </c>
      <c r="Y22" s="9">
        <v>1.2</v>
      </c>
      <c r="Z22" s="9">
        <v>22.5</v>
      </c>
      <c r="AA22" s="9">
        <v>0.8</v>
      </c>
      <c r="AB22" s="9">
        <f>Y22*Z22-AA22</f>
        <v>26.2</v>
      </c>
      <c r="AC22" s="9">
        <v>1.2</v>
      </c>
      <c r="AD22" s="9">
        <v>19.5</v>
      </c>
      <c r="AE22" s="9">
        <v>4</v>
      </c>
      <c r="AF22" s="9">
        <f>AC22*AD22-AE22</f>
        <v>19.399999999999999</v>
      </c>
      <c r="AG22" s="9">
        <v>1.2</v>
      </c>
      <c r="AH22" s="9">
        <v>11.1</v>
      </c>
      <c r="AI22" s="9">
        <v>3.2</v>
      </c>
      <c r="AJ22" s="9">
        <f>AG22*AH22-AI22</f>
        <v>10.119999999999997</v>
      </c>
      <c r="AK22" s="9">
        <v>1.2</v>
      </c>
      <c r="AL22" s="9">
        <v>12.3</v>
      </c>
      <c r="AM22" s="9">
        <v>1.2</v>
      </c>
      <c r="AN22" s="9">
        <f>AK22*AL22-AM22</f>
        <v>13.56</v>
      </c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>
        <f>SUM(H22,L22,P22,T22,X22,AB22,AF22,AJ22,AN22,AR22,AV22,AZ22)</f>
        <v>117.70000000000002</v>
      </c>
      <c r="BB22" s="10">
        <f>BA22*0.393701</f>
        <v>46.338607700000011</v>
      </c>
      <c r="BC22" s="9">
        <f>ROUND(D22*$B$1*0.01,1)</f>
        <v>4777.3</v>
      </c>
      <c r="BD22" s="14">
        <f>ROUND(BB22*BC22/12,1)</f>
        <v>18447.8</v>
      </c>
      <c r="BE22" s="11"/>
      <c r="BF22" s="11"/>
      <c r="BG22" s="11"/>
      <c r="BH22" s="11"/>
      <c r="BI22" s="11"/>
    </row>
    <row r="23" spans="1:70" x14ac:dyDescent="0.25">
      <c r="A23" s="13" t="s">
        <v>15</v>
      </c>
      <c r="B23" s="9" t="s">
        <v>18</v>
      </c>
      <c r="C23" s="9">
        <v>5</v>
      </c>
      <c r="D23" s="9">
        <v>25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1.2</v>
      </c>
      <c r="V23" s="9">
        <v>24</v>
      </c>
      <c r="W23" s="9">
        <v>0.5</v>
      </c>
      <c r="X23" s="9">
        <f>U23*V23-W23</f>
        <v>28.299999999999997</v>
      </c>
      <c r="Y23" s="9">
        <v>1.2</v>
      </c>
      <c r="Z23" s="9">
        <v>22.5</v>
      </c>
      <c r="AA23" s="9">
        <v>0.8</v>
      </c>
      <c r="AB23" s="9">
        <f>Y23*Z23-AA23</f>
        <v>26.2</v>
      </c>
      <c r="AC23" s="9">
        <v>1.2</v>
      </c>
      <c r="AD23" s="9">
        <v>19.5</v>
      </c>
      <c r="AE23" s="9">
        <v>4</v>
      </c>
      <c r="AF23" s="9">
        <f>AC23*AD23-AE23</f>
        <v>19.399999999999999</v>
      </c>
      <c r="AG23" s="9">
        <v>1.2</v>
      </c>
      <c r="AH23" s="9">
        <v>11.1</v>
      </c>
      <c r="AI23" s="9">
        <v>3.2</v>
      </c>
      <c r="AJ23" s="9">
        <f>AG23*AH23-AI23</f>
        <v>10.119999999999997</v>
      </c>
      <c r="AK23" s="9">
        <v>1.2</v>
      </c>
      <c r="AL23" s="9">
        <v>12.3</v>
      </c>
      <c r="AM23" s="9">
        <v>1.2</v>
      </c>
      <c r="AN23" s="9">
        <f>AK23*AL23-AM23</f>
        <v>13.56</v>
      </c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>
        <f>SUM(H23,L23,P23,T23,X23,AB23,AF23,AJ23,AN23,AR23,AV23,AZ23)</f>
        <v>97.580000000000013</v>
      </c>
      <c r="BB23" s="10">
        <f>BA23*0.393701</f>
        <v>38.417343580000008</v>
      </c>
      <c r="BC23" s="9">
        <f>ROUND(D23*$B$1*0.01,1)</f>
        <v>119433.1</v>
      </c>
      <c r="BD23" s="14">
        <f>ROUND(BB23*BC23/12,1)</f>
        <v>382358.5</v>
      </c>
      <c r="BE23" s="11"/>
      <c r="BF23" s="11"/>
      <c r="BG23" s="11"/>
      <c r="BH23" s="11"/>
      <c r="BI23" s="11"/>
    </row>
    <row r="24" spans="1:70" ht="15.75" thickBot="1" x14ac:dyDescent="0.3">
      <c r="A24" s="15"/>
      <c r="B24" s="16"/>
      <c r="C24" s="16"/>
      <c r="D24" s="16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 t="s">
        <v>22</v>
      </c>
      <c r="BD24" s="19">
        <f>SUM(BD19:BD23)</f>
        <v>970637.20000000007</v>
      </c>
      <c r="BE24" s="11"/>
      <c r="BF24" s="11"/>
      <c r="BG24" s="129"/>
      <c r="BH24" s="129"/>
      <c r="BI24" s="11"/>
    </row>
    <row r="25" spans="1:70" x14ac:dyDescent="0.25">
      <c r="BE25" s="11"/>
      <c r="BF25" s="11"/>
      <c r="BG25" s="11"/>
      <c r="BH25" s="11"/>
      <c r="BI25" s="11"/>
    </row>
    <row r="26" spans="1:70" ht="15.75" thickBot="1" x14ac:dyDescent="0.3">
      <c r="BF26" s="8"/>
      <c r="BG26" s="8"/>
      <c r="BH26" s="8"/>
      <c r="BI26" s="8"/>
      <c r="BJ26" s="8"/>
    </row>
    <row r="27" spans="1:70" ht="15.75" thickBot="1" x14ac:dyDescent="0.3">
      <c r="BF27" s="131" t="s">
        <v>117</v>
      </c>
      <c r="BG27" s="132"/>
      <c r="BH27" s="132"/>
      <c r="BI27" s="133"/>
      <c r="BP27" s="38" t="s">
        <v>122</v>
      </c>
      <c r="BQ27" s="39" t="s">
        <v>123</v>
      </c>
      <c r="BR27" s="40" t="s">
        <v>124</v>
      </c>
    </row>
    <row r="28" spans="1:70" x14ac:dyDescent="0.25">
      <c r="BF28" s="120" t="s">
        <v>95</v>
      </c>
      <c r="BG28" s="23" t="s">
        <v>24</v>
      </c>
      <c r="BH28" s="23" t="s">
        <v>37</v>
      </c>
      <c r="BI28" s="25" t="s">
        <v>116</v>
      </c>
      <c r="BK28" s="122" t="s">
        <v>119</v>
      </c>
      <c r="BL28" s="123"/>
      <c r="BM28" s="123"/>
      <c r="BN28" s="124"/>
      <c r="BP28" s="41" t="s">
        <v>41</v>
      </c>
      <c r="BQ28" s="29">
        <v>183</v>
      </c>
      <c r="BR28" s="33" t="s">
        <v>92</v>
      </c>
    </row>
    <row r="29" spans="1:70" ht="15.75" x14ac:dyDescent="0.25"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F29" s="121"/>
      <c r="BG29" s="27" t="s">
        <v>93</v>
      </c>
      <c r="BH29" s="27" t="s">
        <v>93</v>
      </c>
      <c r="BI29" s="28" t="s">
        <v>93</v>
      </c>
      <c r="BK29" s="130" t="s">
        <v>91</v>
      </c>
      <c r="BL29" s="32" t="s">
        <v>121</v>
      </c>
      <c r="BM29" s="32" t="s">
        <v>39</v>
      </c>
      <c r="BN29" s="25" t="s">
        <v>106</v>
      </c>
      <c r="BP29" s="41" t="s">
        <v>104</v>
      </c>
      <c r="BQ29" s="29">
        <v>182</v>
      </c>
      <c r="BR29" s="33" t="s">
        <v>92</v>
      </c>
    </row>
    <row r="30" spans="1:70" ht="18.75" x14ac:dyDescent="0.25"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F30" s="36" t="s">
        <v>25</v>
      </c>
      <c r="BG30" s="9">
        <v>1.5</v>
      </c>
      <c r="BH30" s="9">
        <v>2.5</v>
      </c>
      <c r="BI30" s="14">
        <f>0.2*BH30</f>
        <v>0.5</v>
      </c>
      <c r="BK30" s="130"/>
      <c r="BL30" s="30" t="s">
        <v>118</v>
      </c>
      <c r="BM30" s="30" t="s">
        <v>40</v>
      </c>
      <c r="BN30" s="28" t="s">
        <v>105</v>
      </c>
      <c r="BP30" s="41" t="s">
        <v>42</v>
      </c>
      <c r="BQ30" s="42">
        <f>LARGE(BN31:BN32,1)</f>
        <v>2688.8072619047621</v>
      </c>
      <c r="BR30" s="33" t="s">
        <v>49</v>
      </c>
    </row>
    <row r="31" spans="1:70" x14ac:dyDescent="0.25"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F31" s="36" t="s">
        <v>26</v>
      </c>
      <c r="BG31" s="9">
        <v>1.8</v>
      </c>
      <c r="BH31" s="9">
        <v>3</v>
      </c>
      <c r="BI31" s="14">
        <f t="shared" ref="BI31:BI41" si="16">0.2*BH31</f>
        <v>0.60000000000000009</v>
      </c>
      <c r="BK31" s="36" t="s">
        <v>0</v>
      </c>
      <c r="BL31" s="29">
        <f>43560*BD12</f>
        <v>15406457616.000002</v>
      </c>
      <c r="BM31" s="29">
        <f>BQ28*24*3600</f>
        <v>15811200</v>
      </c>
      <c r="BN31" s="34">
        <f>BL31/BM31</f>
        <v>974.40153916211307</v>
      </c>
      <c r="BP31" s="41" t="s">
        <v>125</v>
      </c>
      <c r="BQ31" s="42">
        <f>0.05*BQ30</f>
        <v>134.4403630952381</v>
      </c>
      <c r="BR31" s="33" t="s">
        <v>49</v>
      </c>
    </row>
    <row r="32" spans="1:70" ht="15.75" thickBot="1" x14ac:dyDescent="0.3"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F32" s="36" t="s">
        <v>27</v>
      </c>
      <c r="BG32" s="9">
        <v>4.5</v>
      </c>
      <c r="BH32" s="9">
        <v>4.4000000000000004</v>
      </c>
      <c r="BI32" s="14">
        <f t="shared" si="16"/>
        <v>0.88000000000000012</v>
      </c>
      <c r="BK32" s="37" t="s">
        <v>21</v>
      </c>
      <c r="BL32" s="31">
        <f>43560*BD24</f>
        <v>42280956432</v>
      </c>
      <c r="BM32" s="31">
        <f>BQ29*3600*24</f>
        <v>15724800</v>
      </c>
      <c r="BN32" s="35">
        <f>BL32/BM32</f>
        <v>2688.8072619047621</v>
      </c>
      <c r="BP32" s="41" t="s">
        <v>250</v>
      </c>
      <c r="BQ32" s="42">
        <f>BQ31+BQ30</f>
        <v>2823.247625</v>
      </c>
      <c r="BR32" s="33" t="s">
        <v>49</v>
      </c>
    </row>
    <row r="33" spans="2:70" ht="15.75" thickBot="1" x14ac:dyDescent="0.3"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F33" s="36" t="s">
        <v>28</v>
      </c>
      <c r="BG33" s="9">
        <v>17.100000000000001</v>
      </c>
      <c r="BH33" s="9">
        <v>2</v>
      </c>
      <c r="BI33" s="14">
        <f t="shared" si="16"/>
        <v>0.4</v>
      </c>
      <c r="BK33" s="125" t="s">
        <v>120</v>
      </c>
      <c r="BL33" s="126"/>
      <c r="BM33" s="126"/>
      <c r="BN33" s="127"/>
      <c r="BP33" s="41" t="s">
        <v>126</v>
      </c>
      <c r="BQ33" s="29">
        <f>ROUND(1000*BQ32/B1,2)</f>
        <v>5.91</v>
      </c>
      <c r="BR33" s="33" t="s">
        <v>107</v>
      </c>
    </row>
    <row r="34" spans="2:70" x14ac:dyDescent="0.25">
      <c r="F34" s="8"/>
      <c r="G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F34" s="36" t="s">
        <v>29</v>
      </c>
      <c r="BG34" s="9">
        <v>24</v>
      </c>
      <c r="BH34" s="9">
        <v>2.5</v>
      </c>
      <c r="BI34" s="14">
        <f t="shared" si="16"/>
        <v>0.5</v>
      </c>
      <c r="BP34" s="41" t="s">
        <v>131</v>
      </c>
      <c r="BQ34" s="29">
        <v>3</v>
      </c>
      <c r="BR34" s="33" t="s">
        <v>49</v>
      </c>
    </row>
    <row r="35" spans="2:70" x14ac:dyDescent="0.25">
      <c r="F35" s="8"/>
      <c r="G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F35" s="36" t="s">
        <v>30</v>
      </c>
      <c r="BG35" s="9">
        <v>22.5</v>
      </c>
      <c r="BH35" s="9">
        <v>4</v>
      </c>
      <c r="BI35" s="14">
        <f t="shared" si="16"/>
        <v>0.8</v>
      </c>
      <c r="BP35" s="41" t="s">
        <v>127</v>
      </c>
      <c r="BQ35" s="42">
        <f>BQ34*1000/BQ33</f>
        <v>507.61421319796955</v>
      </c>
      <c r="BR35" s="33" t="s">
        <v>48</v>
      </c>
    </row>
    <row r="36" spans="2:70" ht="15.75" thickBot="1" x14ac:dyDescent="0.3">
      <c r="BF36" s="36" t="s">
        <v>31</v>
      </c>
      <c r="BG36" s="9">
        <v>19.5</v>
      </c>
      <c r="BH36" s="9">
        <v>20</v>
      </c>
      <c r="BI36" s="14">
        <f t="shared" si="16"/>
        <v>4</v>
      </c>
      <c r="BN36" s="8"/>
      <c r="BP36" s="43" t="s">
        <v>128</v>
      </c>
      <c r="BQ36" s="44">
        <f>B1/BQ35</f>
        <v>941.13261129999989</v>
      </c>
      <c r="BR36" s="45"/>
    </row>
    <row r="37" spans="2:70" x14ac:dyDescent="0.25">
      <c r="BF37" s="36" t="s">
        <v>32</v>
      </c>
      <c r="BG37" s="9">
        <v>11.1</v>
      </c>
      <c r="BH37" s="9">
        <v>16</v>
      </c>
      <c r="BI37" s="14">
        <f t="shared" si="16"/>
        <v>3.2</v>
      </c>
      <c r="BN37" s="8"/>
    </row>
    <row r="38" spans="2:70" x14ac:dyDescent="0.25">
      <c r="BF38" s="36" t="s">
        <v>33</v>
      </c>
      <c r="BG38" s="9">
        <v>12.3</v>
      </c>
      <c r="BH38" s="9">
        <v>6</v>
      </c>
      <c r="BI38" s="14">
        <f t="shared" si="16"/>
        <v>1.2000000000000002</v>
      </c>
      <c r="BN38" s="8"/>
    </row>
    <row r="39" spans="2:70" x14ac:dyDescent="0.25">
      <c r="B39" s="8"/>
      <c r="BF39" s="36" t="s">
        <v>34</v>
      </c>
      <c r="BG39" s="9">
        <v>7.5</v>
      </c>
      <c r="BH39" s="9">
        <v>1.5</v>
      </c>
      <c r="BI39" s="14">
        <f t="shared" si="16"/>
        <v>0.30000000000000004</v>
      </c>
      <c r="BN39" s="8"/>
    </row>
    <row r="40" spans="2:70" x14ac:dyDescent="0.25">
      <c r="B40" s="8"/>
      <c r="BF40" s="36" t="s">
        <v>35</v>
      </c>
      <c r="BG40" s="9">
        <v>7.2</v>
      </c>
      <c r="BH40" s="9">
        <v>0.8</v>
      </c>
      <c r="BI40" s="14">
        <f t="shared" si="16"/>
        <v>0.16000000000000003</v>
      </c>
      <c r="BM40"/>
      <c r="BN40" s="8"/>
    </row>
    <row r="41" spans="2:70" ht="15.75" thickBot="1" x14ac:dyDescent="0.3">
      <c r="B41" s="8"/>
      <c r="BF41" s="37" t="s">
        <v>36</v>
      </c>
      <c r="BG41" s="16">
        <v>4.2</v>
      </c>
      <c r="BH41" s="16">
        <v>1.2</v>
      </c>
      <c r="BI41" s="17">
        <f t="shared" si="16"/>
        <v>0.24</v>
      </c>
      <c r="BN41" s="8"/>
    </row>
    <row r="42" spans="2:70" x14ac:dyDescent="0.25">
      <c r="B42" s="8"/>
      <c r="BN42" s="8"/>
    </row>
    <row r="43" spans="2:70" x14ac:dyDescent="0.25">
      <c r="B43" s="8"/>
    </row>
    <row r="44" spans="2:70" x14ac:dyDescent="0.25">
      <c r="B44" s="8"/>
    </row>
  </sheetData>
  <mergeCells count="34">
    <mergeCell ref="A2:BD2"/>
    <mergeCell ref="AW3:AZ3"/>
    <mergeCell ref="BA3:BB3"/>
    <mergeCell ref="A15:BD15"/>
    <mergeCell ref="AC3:AF3"/>
    <mergeCell ref="AG3:AJ3"/>
    <mergeCell ref="AK3:AN3"/>
    <mergeCell ref="AO3:AR3"/>
    <mergeCell ref="AS3:AV3"/>
    <mergeCell ref="I3:L3"/>
    <mergeCell ref="M3:P3"/>
    <mergeCell ref="Q3:T3"/>
    <mergeCell ref="U3:X3"/>
    <mergeCell ref="Y3:AB3"/>
    <mergeCell ref="E3:H3"/>
    <mergeCell ref="E16:H16"/>
    <mergeCell ref="I16:L16"/>
    <mergeCell ref="M16:P16"/>
    <mergeCell ref="Q16:T16"/>
    <mergeCell ref="BF27:BI27"/>
    <mergeCell ref="BF28:BF29"/>
    <mergeCell ref="BK28:BN28"/>
    <mergeCell ref="BK33:BN33"/>
    <mergeCell ref="U16:X16"/>
    <mergeCell ref="AS16:AV16"/>
    <mergeCell ref="AW16:AZ16"/>
    <mergeCell ref="BA16:BB16"/>
    <mergeCell ref="Y16:AB16"/>
    <mergeCell ref="AC16:AF16"/>
    <mergeCell ref="AG16:AJ16"/>
    <mergeCell ref="AK16:AN16"/>
    <mergeCell ref="AO16:AR16"/>
    <mergeCell ref="BG24:BH24"/>
    <mergeCell ref="BK29:BK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1"/>
  <sheetViews>
    <sheetView topLeftCell="B1" zoomScale="90" zoomScaleNormal="90" workbookViewId="0">
      <selection activeCell="O7" sqref="O7"/>
    </sheetView>
  </sheetViews>
  <sheetFormatPr defaultRowHeight="15" x14ac:dyDescent="0.25"/>
  <cols>
    <col min="1" max="1" width="7" style="1" customWidth="1"/>
    <col min="2" max="2" width="7.42578125" style="3" customWidth="1"/>
    <col min="3" max="3" width="8.85546875" style="1" customWidth="1"/>
    <col min="4" max="4" width="6.85546875" style="1" customWidth="1"/>
    <col min="5" max="5" width="10.42578125" style="4" customWidth="1"/>
    <col min="6" max="6" width="10.5703125" style="1" customWidth="1"/>
    <col min="7" max="7" width="10.5703125" style="4" customWidth="1"/>
    <col min="8" max="8" width="9.7109375" style="1" customWidth="1"/>
    <col min="9" max="9" width="11.28515625" style="55" customWidth="1"/>
    <col min="10" max="10" width="17.28515625" style="1" customWidth="1"/>
    <col min="11" max="11" width="10.140625" style="1" customWidth="1"/>
    <col min="12" max="12" width="13" style="4" customWidth="1"/>
    <col min="13" max="13" width="24.42578125" style="1" customWidth="1"/>
    <col min="14" max="14" width="11.7109375" style="1" customWidth="1"/>
    <col min="15" max="15" width="14.28515625" style="1" customWidth="1"/>
    <col min="16" max="16" width="24.28515625" style="1" bestFit="1" customWidth="1"/>
    <col min="17" max="17" width="13.85546875" style="1" customWidth="1"/>
    <col min="18" max="18" width="10.140625" style="1" customWidth="1"/>
    <col min="19" max="21" width="10.140625" style="4" customWidth="1"/>
    <col min="22" max="23" width="9.5703125" style="1" customWidth="1"/>
    <col min="24" max="24" width="10.5703125" style="1" customWidth="1"/>
    <col min="25" max="25" width="8.28515625" style="1" customWidth="1"/>
    <col min="26" max="26" width="6.42578125" style="1" customWidth="1"/>
    <col min="27" max="27" width="20.85546875" style="1" customWidth="1"/>
    <col min="28" max="16384" width="9.140625" style="1"/>
  </cols>
  <sheetData>
    <row r="1" spans="1:26" x14ac:dyDescent="0.25">
      <c r="D1" s="143" t="s">
        <v>251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</row>
    <row r="2" spans="1:26" ht="15.75" customHeight="1" x14ac:dyDescent="0.25">
      <c r="D2" s="146" t="s">
        <v>162</v>
      </c>
      <c r="E2" s="147"/>
      <c r="F2" s="147"/>
      <c r="G2" s="49">
        <f>CWR!BQ33</f>
        <v>5.91</v>
      </c>
      <c r="H2" s="56" t="s">
        <v>49</v>
      </c>
      <c r="J2" s="53"/>
      <c r="K2" s="53"/>
      <c r="L2" s="53"/>
      <c r="M2" s="150" t="s">
        <v>197</v>
      </c>
      <c r="N2" s="152" t="s">
        <v>198</v>
      </c>
      <c r="O2" s="154" t="s">
        <v>199</v>
      </c>
      <c r="Q2"/>
      <c r="R2"/>
      <c r="S2"/>
      <c r="T2"/>
      <c r="U2"/>
    </row>
    <row r="3" spans="1:26" ht="15" customHeight="1" x14ac:dyDescent="0.25">
      <c r="C3" s="48"/>
      <c r="D3" s="148" t="s">
        <v>130</v>
      </c>
      <c r="E3" s="149"/>
      <c r="F3" s="149"/>
      <c r="G3" s="53">
        <f>CWR!BQ34</f>
        <v>3</v>
      </c>
      <c r="H3" s="56" t="s">
        <v>49</v>
      </c>
      <c r="J3" s="52"/>
      <c r="K3" s="52"/>
      <c r="L3" s="52"/>
      <c r="M3" s="151"/>
      <c r="N3" s="153"/>
      <c r="O3" s="155"/>
    </row>
    <row r="4" spans="1:26" ht="15.75" customHeight="1" x14ac:dyDescent="0.25">
      <c r="C4" s="48"/>
      <c r="D4" s="148" t="s">
        <v>163</v>
      </c>
      <c r="E4" s="149"/>
      <c r="F4" s="149"/>
      <c r="G4" s="80">
        <f>CWR!BQ35</f>
        <v>507.61421319796955</v>
      </c>
      <c r="H4" s="81" t="s">
        <v>129</v>
      </c>
      <c r="J4" s="49"/>
      <c r="K4" s="49"/>
      <c r="L4" s="49"/>
      <c r="M4" s="49"/>
      <c r="N4" s="49"/>
      <c r="O4" s="84"/>
    </row>
    <row r="5" spans="1:26" s="54" customFormat="1" ht="31.5" customHeight="1" x14ac:dyDescent="0.25">
      <c r="D5" s="85" t="s">
        <v>161</v>
      </c>
      <c r="E5" s="140" t="s">
        <v>43</v>
      </c>
      <c r="F5" s="141"/>
      <c r="G5" s="142"/>
      <c r="H5" s="74" t="s">
        <v>44</v>
      </c>
      <c r="I5" s="82" t="s">
        <v>201</v>
      </c>
      <c r="J5" s="74" t="s">
        <v>252</v>
      </c>
      <c r="K5" s="74" t="s">
        <v>159</v>
      </c>
      <c r="L5" s="74" t="s">
        <v>160</v>
      </c>
      <c r="M5" s="74" t="s">
        <v>96</v>
      </c>
      <c r="N5" s="74" t="s">
        <v>46</v>
      </c>
      <c r="O5" s="86" t="s">
        <v>47</v>
      </c>
    </row>
    <row r="6" spans="1:26" ht="15.75" x14ac:dyDescent="0.25">
      <c r="A6" s="4"/>
      <c r="B6" s="4"/>
      <c r="C6" s="4"/>
      <c r="D6" s="66"/>
      <c r="E6" s="67" t="s">
        <v>80</v>
      </c>
      <c r="F6" s="67"/>
      <c r="G6" s="67" t="s">
        <v>202</v>
      </c>
      <c r="H6" s="67"/>
      <c r="I6" s="68" t="s">
        <v>158</v>
      </c>
      <c r="J6" s="67" t="s">
        <v>48</v>
      </c>
      <c r="K6" s="67" t="s">
        <v>49</v>
      </c>
      <c r="L6" s="67" t="s">
        <v>49</v>
      </c>
      <c r="M6" s="67" t="s">
        <v>49</v>
      </c>
      <c r="N6" s="67" t="s">
        <v>49</v>
      </c>
      <c r="O6" s="69" t="s">
        <v>49</v>
      </c>
    </row>
    <row r="7" spans="1:26" ht="16.5" x14ac:dyDescent="0.25">
      <c r="A7" s="2"/>
      <c r="B7" s="1"/>
      <c r="D7" s="58">
        <v>1</v>
      </c>
      <c r="E7" s="49">
        <f t="shared" ref="E7:E52" si="0">Q7+R7</f>
        <v>49901.574999999997</v>
      </c>
      <c r="F7" s="49" t="s">
        <v>174</v>
      </c>
      <c r="G7" s="50">
        <f>E7/1000</f>
        <v>49.901574999999994</v>
      </c>
      <c r="H7" s="49" t="s">
        <v>71</v>
      </c>
      <c r="I7" s="56">
        <f t="shared" ref="I7:I8" si="1">6561.688/1000</f>
        <v>6.5616880000000002</v>
      </c>
      <c r="J7" s="50">
        <f t="shared" ref="J7:J52" si="2">$G$4</f>
        <v>507.61421319796955</v>
      </c>
      <c r="K7" s="49">
        <f t="shared" ref="K7:K52" si="3">J7*$G$2/1000</f>
        <v>3</v>
      </c>
      <c r="L7" s="87">
        <v>135</v>
      </c>
      <c r="M7" s="51">
        <f>0.0133*I7*L7^0.5625</f>
        <v>1.3777802726203903</v>
      </c>
      <c r="N7" s="51">
        <f>K7+M7</f>
        <v>4.3777802726203898</v>
      </c>
      <c r="O7" s="59">
        <f t="shared" ref="O7" si="4">O8</f>
        <v>175.93047974031597</v>
      </c>
      <c r="P7" s="47"/>
      <c r="Q7" s="4">
        <v>49901.574999999997</v>
      </c>
      <c r="R7" s="4">
        <v>0</v>
      </c>
      <c r="U7" s="3"/>
    </row>
    <row r="8" spans="1:26" ht="16.5" x14ac:dyDescent="0.25">
      <c r="D8" s="58">
        <v>2</v>
      </c>
      <c r="E8" s="49">
        <f t="shared" si="0"/>
        <v>49901.574999999997</v>
      </c>
      <c r="F8" s="49" t="s">
        <v>174</v>
      </c>
      <c r="G8" s="50">
        <f t="shared" ref="G8:G52" si="5">E8/1000</f>
        <v>49.901574999999994</v>
      </c>
      <c r="H8" s="49" t="s">
        <v>72</v>
      </c>
      <c r="I8" s="56">
        <f t="shared" si="1"/>
        <v>6.5616880000000002</v>
      </c>
      <c r="J8" s="50">
        <f t="shared" si="2"/>
        <v>507.61421319796955</v>
      </c>
      <c r="K8" s="49">
        <f t="shared" si="3"/>
        <v>3</v>
      </c>
      <c r="L8" s="87">
        <v>135</v>
      </c>
      <c r="M8" s="51">
        <f t="shared" ref="M8:M52" si="6">0.0133*I8*L8^0.5625</f>
        <v>1.3777802726203903</v>
      </c>
      <c r="N8" s="51">
        <f t="shared" ref="N8:N52" si="7">K8+M8</f>
        <v>4.3777802726203898</v>
      </c>
      <c r="O8" s="59">
        <f t="shared" ref="O8" si="8">O9+(N8+N8)</f>
        <v>175.93047974031597</v>
      </c>
      <c r="Q8" s="4">
        <v>49901.574999999997</v>
      </c>
      <c r="R8" s="4">
        <v>0</v>
      </c>
      <c r="V8" s="3"/>
      <c r="W8" s="3"/>
      <c r="X8" s="3"/>
      <c r="Y8" s="3"/>
      <c r="Z8" s="3"/>
    </row>
    <row r="9" spans="1:26" ht="16.5" x14ac:dyDescent="0.25">
      <c r="D9" s="58">
        <v>3</v>
      </c>
      <c r="E9" s="49">
        <f t="shared" si="0"/>
        <v>54337.274999999994</v>
      </c>
      <c r="F9" s="49" t="s">
        <v>176</v>
      </c>
      <c r="G9" s="50">
        <f t="shared" si="5"/>
        <v>54.337274999999991</v>
      </c>
      <c r="H9" s="49" t="s">
        <v>54</v>
      </c>
      <c r="I9" s="56">
        <f>6561.688/1000</f>
        <v>6.5616880000000002</v>
      </c>
      <c r="J9" s="50">
        <f t="shared" si="2"/>
        <v>507.61421319796955</v>
      </c>
      <c r="K9" s="49">
        <f t="shared" si="3"/>
        <v>3</v>
      </c>
      <c r="L9" s="87">
        <v>129</v>
      </c>
      <c r="M9" s="51">
        <f t="shared" si="6"/>
        <v>1.3429935577609153</v>
      </c>
      <c r="N9" s="51">
        <f t="shared" si="7"/>
        <v>4.3429935577609156</v>
      </c>
      <c r="O9" s="59">
        <f t="shared" ref="O9" si="9">O10</f>
        <v>167.1749191950752</v>
      </c>
      <c r="Q9" s="4">
        <v>49901.574999999997</v>
      </c>
      <c r="R9" s="4">
        <v>4435.7</v>
      </c>
      <c r="V9" s="3"/>
      <c r="W9" s="3"/>
      <c r="X9" s="3"/>
      <c r="Y9" s="3"/>
      <c r="Z9" s="3"/>
    </row>
    <row r="10" spans="1:26" ht="16.5" x14ac:dyDescent="0.25">
      <c r="D10" s="58">
        <v>4</v>
      </c>
      <c r="E10" s="49">
        <f t="shared" si="0"/>
        <v>54337.274999999994</v>
      </c>
      <c r="F10" s="49" t="s">
        <v>176</v>
      </c>
      <c r="G10" s="50">
        <f t="shared" si="5"/>
        <v>54.337274999999991</v>
      </c>
      <c r="H10" s="49" t="s">
        <v>53</v>
      </c>
      <c r="I10" s="56">
        <f t="shared" ref="I10:I52" si="10">6561.688/1000</f>
        <v>6.5616880000000002</v>
      </c>
      <c r="J10" s="50">
        <f t="shared" si="2"/>
        <v>507.61421319796955</v>
      </c>
      <c r="K10" s="49">
        <f t="shared" si="3"/>
        <v>3</v>
      </c>
      <c r="L10" s="87">
        <v>129</v>
      </c>
      <c r="M10" s="51">
        <f t="shared" si="6"/>
        <v>1.3429935577609153</v>
      </c>
      <c r="N10" s="51">
        <f t="shared" si="7"/>
        <v>4.3429935577609156</v>
      </c>
      <c r="O10" s="59">
        <f t="shared" ref="O10" si="11">O11+(N10+N10)</f>
        <v>167.1749191950752</v>
      </c>
      <c r="Q10" s="4">
        <v>49901.574999999997</v>
      </c>
      <c r="R10" s="4">
        <v>4435.7</v>
      </c>
      <c r="V10" s="3"/>
      <c r="W10" s="3"/>
      <c r="X10" s="3"/>
      <c r="Y10" s="3"/>
      <c r="Z10" s="3"/>
    </row>
    <row r="11" spans="1:26" ht="16.5" x14ac:dyDescent="0.25">
      <c r="D11" s="58">
        <v>5</v>
      </c>
      <c r="E11" s="49">
        <f t="shared" si="0"/>
        <v>58772.974999999999</v>
      </c>
      <c r="F11" s="49" t="s">
        <v>179</v>
      </c>
      <c r="G11" s="50">
        <f t="shared" si="5"/>
        <v>58.772974999999995</v>
      </c>
      <c r="H11" s="49" t="s">
        <v>55</v>
      </c>
      <c r="I11" s="56">
        <f t="shared" si="10"/>
        <v>6.5616880000000002</v>
      </c>
      <c r="J11" s="50">
        <f t="shared" si="2"/>
        <v>507.61421319796955</v>
      </c>
      <c r="K11" s="49">
        <f t="shared" si="3"/>
        <v>3</v>
      </c>
      <c r="L11" s="87">
        <v>123</v>
      </c>
      <c r="M11" s="51">
        <f t="shared" si="6"/>
        <v>1.3074914046728607</v>
      </c>
      <c r="N11" s="51">
        <f t="shared" si="7"/>
        <v>4.3074914046728612</v>
      </c>
      <c r="O11" s="59">
        <f t="shared" ref="O11" si="12">O12</f>
        <v>158.48893207955336</v>
      </c>
      <c r="Q11" s="4">
        <v>49901.574999999997</v>
      </c>
      <c r="R11" s="4">
        <v>8871.4</v>
      </c>
      <c r="V11" s="3"/>
      <c r="W11" s="3"/>
      <c r="X11" s="3"/>
      <c r="Y11" s="3"/>
      <c r="Z11" s="3"/>
    </row>
    <row r="12" spans="1:26" ht="16.5" x14ac:dyDescent="0.25">
      <c r="D12" s="58">
        <v>6</v>
      </c>
      <c r="E12" s="49">
        <f t="shared" si="0"/>
        <v>58772.974999999999</v>
      </c>
      <c r="F12" s="49" t="s">
        <v>179</v>
      </c>
      <c r="G12" s="50">
        <f t="shared" si="5"/>
        <v>58.772974999999995</v>
      </c>
      <c r="H12" s="49" t="s">
        <v>56</v>
      </c>
      <c r="I12" s="56">
        <f t="shared" si="10"/>
        <v>6.5616880000000002</v>
      </c>
      <c r="J12" s="50">
        <f t="shared" si="2"/>
        <v>507.61421319796955</v>
      </c>
      <c r="K12" s="49">
        <f t="shared" si="3"/>
        <v>3</v>
      </c>
      <c r="L12" s="87">
        <v>123</v>
      </c>
      <c r="M12" s="51">
        <f t="shared" si="6"/>
        <v>1.3074914046728607</v>
      </c>
      <c r="N12" s="51">
        <f t="shared" si="7"/>
        <v>4.3074914046728612</v>
      </c>
      <c r="O12" s="59">
        <f t="shared" ref="O12" si="13">O13+(N12+N12)</f>
        <v>158.48893207955336</v>
      </c>
      <c r="Q12" s="4">
        <v>49901.574999999997</v>
      </c>
      <c r="R12" s="4">
        <v>8871.4</v>
      </c>
      <c r="V12" s="3"/>
      <c r="W12" s="3"/>
      <c r="X12" s="3"/>
      <c r="Y12" s="3"/>
      <c r="Z12" s="3"/>
    </row>
    <row r="13" spans="1:26" ht="16.5" x14ac:dyDescent="0.25">
      <c r="D13" s="58">
        <v>7</v>
      </c>
      <c r="E13" s="49">
        <f t="shared" si="0"/>
        <v>63208.674999999996</v>
      </c>
      <c r="F13" s="49" t="s">
        <v>175</v>
      </c>
      <c r="G13" s="50">
        <f t="shared" si="5"/>
        <v>63.208674999999992</v>
      </c>
      <c r="H13" s="49" t="s">
        <v>57</v>
      </c>
      <c r="I13" s="56">
        <f t="shared" si="10"/>
        <v>6.5616880000000002</v>
      </c>
      <c r="J13" s="50">
        <f t="shared" si="2"/>
        <v>507.61421319796955</v>
      </c>
      <c r="K13" s="49">
        <f t="shared" si="3"/>
        <v>3</v>
      </c>
      <c r="L13" s="87">
        <v>117</v>
      </c>
      <c r="M13" s="51">
        <f t="shared" si="6"/>
        <v>1.2712230664609225</v>
      </c>
      <c r="N13" s="51">
        <f t="shared" si="7"/>
        <v>4.271223066460923</v>
      </c>
      <c r="O13" s="59">
        <f t="shared" ref="O13" si="14">O14</f>
        <v>149.87394927020765</v>
      </c>
      <c r="Q13" s="4">
        <v>49901.574999999997</v>
      </c>
      <c r="R13" s="4">
        <v>13307.1</v>
      </c>
      <c r="V13" s="3"/>
      <c r="W13" s="3"/>
      <c r="X13" s="3"/>
      <c r="Y13" s="3"/>
      <c r="Z13" s="3"/>
    </row>
    <row r="14" spans="1:26" ht="16.5" x14ac:dyDescent="0.25">
      <c r="D14" s="58">
        <v>8</v>
      </c>
      <c r="E14" s="49">
        <f t="shared" si="0"/>
        <v>63208.674999999996</v>
      </c>
      <c r="F14" s="49" t="s">
        <v>175</v>
      </c>
      <c r="G14" s="50">
        <f t="shared" si="5"/>
        <v>63.208674999999992</v>
      </c>
      <c r="H14" s="49" t="s">
        <v>58</v>
      </c>
      <c r="I14" s="56">
        <f t="shared" si="10"/>
        <v>6.5616880000000002</v>
      </c>
      <c r="J14" s="50">
        <f t="shared" si="2"/>
        <v>507.61421319796955</v>
      </c>
      <c r="K14" s="49">
        <f t="shared" si="3"/>
        <v>3</v>
      </c>
      <c r="L14" s="87">
        <v>117</v>
      </c>
      <c r="M14" s="51">
        <f t="shared" si="6"/>
        <v>1.2712230664609225</v>
      </c>
      <c r="N14" s="51">
        <f t="shared" si="7"/>
        <v>4.271223066460923</v>
      </c>
      <c r="O14" s="59">
        <f t="shared" ref="O14" si="15">O15+(N14+N14)</f>
        <v>149.87394927020765</v>
      </c>
      <c r="Q14" s="4">
        <v>49901.574999999997</v>
      </c>
      <c r="R14" s="4">
        <v>13307.1</v>
      </c>
      <c r="V14" s="3"/>
      <c r="W14" s="3"/>
      <c r="X14" s="3"/>
      <c r="Y14" s="3"/>
      <c r="Z14" s="3"/>
    </row>
    <row r="15" spans="1:26" ht="16.5" x14ac:dyDescent="0.25">
      <c r="D15" s="58">
        <v>9</v>
      </c>
      <c r="E15" s="49">
        <f t="shared" si="0"/>
        <v>67644.375</v>
      </c>
      <c r="F15" s="49" t="s">
        <v>180</v>
      </c>
      <c r="G15" s="50">
        <f t="shared" si="5"/>
        <v>67.644374999999997</v>
      </c>
      <c r="H15" s="49" t="s">
        <v>59</v>
      </c>
      <c r="I15" s="56">
        <f t="shared" si="10"/>
        <v>6.5616880000000002</v>
      </c>
      <c r="J15" s="50">
        <f t="shared" si="2"/>
        <v>507.61421319796955</v>
      </c>
      <c r="K15" s="49">
        <f t="shared" si="3"/>
        <v>3</v>
      </c>
      <c r="L15" s="87">
        <v>111</v>
      </c>
      <c r="M15" s="51">
        <f t="shared" si="6"/>
        <v>1.2341313736094697</v>
      </c>
      <c r="N15" s="51">
        <f t="shared" si="7"/>
        <v>4.2341313736094701</v>
      </c>
      <c r="O15" s="59">
        <f t="shared" ref="O15" si="16">O16</f>
        <v>141.33150313728581</v>
      </c>
      <c r="Q15" s="4">
        <v>49901.574999999997</v>
      </c>
      <c r="R15" s="4">
        <v>17742.8</v>
      </c>
      <c r="V15" s="3"/>
      <c r="W15" s="3"/>
      <c r="X15" s="3"/>
      <c r="Y15" s="3"/>
      <c r="Z15" s="3"/>
    </row>
    <row r="16" spans="1:26" ht="16.5" x14ac:dyDescent="0.25">
      <c r="D16" s="58">
        <v>10</v>
      </c>
      <c r="E16" s="49">
        <f t="shared" si="0"/>
        <v>67644.375</v>
      </c>
      <c r="F16" s="49" t="s">
        <v>180</v>
      </c>
      <c r="G16" s="50">
        <f t="shared" si="5"/>
        <v>67.644374999999997</v>
      </c>
      <c r="H16" s="49" t="s">
        <v>60</v>
      </c>
      <c r="I16" s="56">
        <f t="shared" si="10"/>
        <v>6.5616880000000002</v>
      </c>
      <c r="J16" s="50">
        <f t="shared" si="2"/>
        <v>507.61421319796955</v>
      </c>
      <c r="K16" s="49">
        <f t="shared" si="3"/>
        <v>3</v>
      </c>
      <c r="L16" s="87">
        <v>111</v>
      </c>
      <c r="M16" s="51">
        <f t="shared" si="6"/>
        <v>1.2341313736094697</v>
      </c>
      <c r="N16" s="51">
        <f t="shared" si="7"/>
        <v>4.2341313736094701</v>
      </c>
      <c r="O16" s="59">
        <f t="shared" ref="O16" si="17">O17+(N16+N16)</f>
        <v>141.33150313728581</v>
      </c>
      <c r="Q16" s="4">
        <v>49901.574999999997</v>
      </c>
      <c r="R16" s="4">
        <v>17742.8</v>
      </c>
      <c r="V16" s="3"/>
      <c r="W16" s="3"/>
      <c r="X16" s="3"/>
      <c r="Y16" s="3"/>
      <c r="Z16" s="3"/>
    </row>
    <row r="17" spans="4:26" ht="16.5" x14ac:dyDescent="0.25">
      <c r="D17" s="58">
        <v>11</v>
      </c>
      <c r="E17" s="49">
        <f t="shared" si="0"/>
        <v>72080.074999999997</v>
      </c>
      <c r="F17" s="49" t="s">
        <v>181</v>
      </c>
      <c r="G17" s="50">
        <f t="shared" si="5"/>
        <v>72.080074999999994</v>
      </c>
      <c r="H17" s="49" t="s">
        <v>61</v>
      </c>
      <c r="I17" s="56">
        <f t="shared" si="10"/>
        <v>6.5616880000000002</v>
      </c>
      <c r="J17" s="50">
        <f t="shared" si="2"/>
        <v>507.61421319796955</v>
      </c>
      <c r="K17" s="49">
        <f t="shared" si="3"/>
        <v>3</v>
      </c>
      <c r="L17" s="87">
        <v>105</v>
      </c>
      <c r="M17" s="51">
        <f t="shared" si="6"/>
        <v>1.196151524390719</v>
      </c>
      <c r="N17" s="51">
        <f t="shared" si="7"/>
        <v>4.1961515243907188</v>
      </c>
      <c r="O17" s="59">
        <f t="shared" ref="O17" si="18">O18</f>
        <v>132.86324039006686</v>
      </c>
      <c r="Q17" s="4">
        <v>49901.574999999997</v>
      </c>
      <c r="R17" s="4">
        <v>22178.5</v>
      </c>
      <c r="V17" s="3"/>
      <c r="W17" s="3"/>
      <c r="X17" s="3"/>
      <c r="Y17" s="3"/>
      <c r="Z17" s="3"/>
    </row>
    <row r="18" spans="4:26" ht="16.5" x14ac:dyDescent="0.25">
      <c r="D18" s="58">
        <v>12</v>
      </c>
      <c r="E18" s="49">
        <f t="shared" si="0"/>
        <v>72080.074999999997</v>
      </c>
      <c r="F18" s="49" t="s">
        <v>181</v>
      </c>
      <c r="G18" s="50">
        <f t="shared" si="5"/>
        <v>72.080074999999994</v>
      </c>
      <c r="H18" s="49" t="s">
        <v>62</v>
      </c>
      <c r="I18" s="56">
        <f t="shared" si="10"/>
        <v>6.5616880000000002</v>
      </c>
      <c r="J18" s="50">
        <f t="shared" si="2"/>
        <v>507.61421319796955</v>
      </c>
      <c r="K18" s="49">
        <f t="shared" si="3"/>
        <v>3</v>
      </c>
      <c r="L18" s="87">
        <v>105</v>
      </c>
      <c r="M18" s="51">
        <f t="shared" si="6"/>
        <v>1.196151524390719</v>
      </c>
      <c r="N18" s="51">
        <f t="shared" si="7"/>
        <v>4.1961515243907188</v>
      </c>
      <c r="O18" s="59">
        <f t="shared" ref="O18" si="19">O19+(N18+N18)</f>
        <v>132.86324039006686</v>
      </c>
      <c r="Q18" s="4">
        <v>49901.574999999997</v>
      </c>
      <c r="R18" s="4">
        <v>22178.5</v>
      </c>
      <c r="V18" s="3"/>
      <c r="W18" s="3"/>
      <c r="X18" s="3"/>
      <c r="Y18" s="3"/>
      <c r="Z18" s="3"/>
    </row>
    <row r="19" spans="4:26" ht="16.5" x14ac:dyDescent="0.25">
      <c r="D19" s="58">
        <v>13</v>
      </c>
      <c r="E19" s="49">
        <f t="shared" si="0"/>
        <v>76515.774999999994</v>
      </c>
      <c r="F19" s="49" t="s">
        <v>177</v>
      </c>
      <c r="G19" s="50">
        <f t="shared" si="5"/>
        <v>76.515774999999991</v>
      </c>
      <c r="H19" s="49" t="s">
        <v>63</v>
      </c>
      <c r="I19" s="56">
        <f t="shared" si="10"/>
        <v>6.5616880000000002</v>
      </c>
      <c r="J19" s="50">
        <f t="shared" si="2"/>
        <v>507.61421319796955</v>
      </c>
      <c r="K19" s="49">
        <f t="shared" si="3"/>
        <v>3</v>
      </c>
      <c r="L19" s="87">
        <v>99</v>
      </c>
      <c r="M19" s="51">
        <f t="shared" si="6"/>
        <v>1.1572095640142894</v>
      </c>
      <c r="N19" s="51">
        <f t="shared" si="7"/>
        <v>4.1572095640142894</v>
      </c>
      <c r="O19" s="59">
        <f t="shared" ref="O19" si="20">O20</f>
        <v>124.47093734128543</v>
      </c>
      <c r="Q19" s="4">
        <v>49901.574999999997</v>
      </c>
      <c r="R19" s="4">
        <v>26614.2</v>
      </c>
      <c r="V19" s="3"/>
      <c r="W19" s="3"/>
      <c r="X19" s="3"/>
      <c r="Y19" s="3"/>
      <c r="Z19" s="3"/>
    </row>
    <row r="20" spans="4:26" ht="16.5" x14ac:dyDescent="0.25">
      <c r="D20" s="58">
        <v>14</v>
      </c>
      <c r="E20" s="49">
        <f t="shared" si="0"/>
        <v>76515.774999999994</v>
      </c>
      <c r="F20" s="49" t="s">
        <v>177</v>
      </c>
      <c r="G20" s="50">
        <f t="shared" si="5"/>
        <v>76.515774999999991</v>
      </c>
      <c r="H20" s="49" t="s">
        <v>64</v>
      </c>
      <c r="I20" s="56">
        <f t="shared" si="10"/>
        <v>6.5616880000000002</v>
      </c>
      <c r="J20" s="50">
        <f t="shared" si="2"/>
        <v>507.61421319796955</v>
      </c>
      <c r="K20" s="49">
        <f t="shared" si="3"/>
        <v>3</v>
      </c>
      <c r="L20" s="87">
        <v>99</v>
      </c>
      <c r="M20" s="51">
        <f t="shared" si="6"/>
        <v>1.1572095640142894</v>
      </c>
      <c r="N20" s="51">
        <f t="shared" si="7"/>
        <v>4.1572095640142894</v>
      </c>
      <c r="O20" s="59">
        <f t="shared" ref="O20" si="21">O21+(N20+N20)</f>
        <v>124.47093734128543</v>
      </c>
      <c r="Q20" s="4">
        <v>49901.574999999997</v>
      </c>
      <c r="R20" s="4">
        <v>26614.2</v>
      </c>
      <c r="V20" s="3"/>
      <c r="W20" s="3"/>
      <c r="X20" s="3"/>
      <c r="Y20" s="3"/>
      <c r="Z20" s="3"/>
    </row>
    <row r="21" spans="4:26" ht="16.5" x14ac:dyDescent="0.25">
      <c r="D21" s="58">
        <v>15</v>
      </c>
      <c r="E21" s="49">
        <f t="shared" si="0"/>
        <v>80951.475000000006</v>
      </c>
      <c r="F21" s="49" t="s">
        <v>182</v>
      </c>
      <c r="G21" s="50">
        <f t="shared" si="5"/>
        <v>80.951475000000002</v>
      </c>
      <c r="H21" s="49" t="s">
        <v>65</v>
      </c>
      <c r="I21" s="56">
        <f t="shared" si="10"/>
        <v>6.5616880000000002</v>
      </c>
      <c r="J21" s="50">
        <f t="shared" si="2"/>
        <v>507.61421319796955</v>
      </c>
      <c r="K21" s="49">
        <f t="shared" si="3"/>
        <v>3</v>
      </c>
      <c r="L21" s="87">
        <v>93</v>
      </c>
      <c r="M21" s="51">
        <f t="shared" si="6"/>
        <v>1.1172204482810817</v>
      </c>
      <c r="N21" s="51">
        <f t="shared" si="7"/>
        <v>4.1172204482810812</v>
      </c>
      <c r="O21" s="59">
        <f t="shared" ref="O21" si="22">O22</f>
        <v>116.15651821325686</v>
      </c>
      <c r="Q21" s="4">
        <v>49901.574999999997</v>
      </c>
      <c r="R21" s="4">
        <v>31049.9</v>
      </c>
      <c r="V21" s="3"/>
      <c r="W21" s="3"/>
      <c r="X21" s="3"/>
      <c r="Y21" s="3"/>
      <c r="Z21" s="3"/>
    </row>
    <row r="22" spans="4:26" ht="16.5" x14ac:dyDescent="0.25">
      <c r="D22" s="58">
        <v>16</v>
      </c>
      <c r="E22" s="49">
        <f t="shared" si="0"/>
        <v>80951.475000000006</v>
      </c>
      <c r="F22" s="49" t="s">
        <v>182</v>
      </c>
      <c r="G22" s="50">
        <f t="shared" si="5"/>
        <v>80.951475000000002</v>
      </c>
      <c r="H22" s="49" t="s">
        <v>66</v>
      </c>
      <c r="I22" s="56">
        <f t="shared" si="10"/>
        <v>6.5616880000000002</v>
      </c>
      <c r="J22" s="50">
        <f t="shared" si="2"/>
        <v>507.61421319796955</v>
      </c>
      <c r="K22" s="49">
        <f t="shared" si="3"/>
        <v>3</v>
      </c>
      <c r="L22" s="87">
        <v>93</v>
      </c>
      <c r="M22" s="51">
        <f t="shared" si="6"/>
        <v>1.1172204482810817</v>
      </c>
      <c r="N22" s="51">
        <f t="shared" si="7"/>
        <v>4.1172204482810812</v>
      </c>
      <c r="O22" s="59">
        <f t="shared" ref="O22" si="23">O23+(N22+N22)</f>
        <v>116.15651821325686</v>
      </c>
      <c r="Q22" s="4">
        <v>49901.574999999997</v>
      </c>
      <c r="R22" s="4">
        <v>31049.9</v>
      </c>
      <c r="V22" s="3"/>
      <c r="W22" s="3"/>
      <c r="X22" s="3"/>
      <c r="Y22" s="3"/>
      <c r="Z22" s="3"/>
    </row>
    <row r="23" spans="4:26" ht="16.5" x14ac:dyDescent="0.25">
      <c r="D23" s="58">
        <v>17</v>
      </c>
      <c r="E23" s="49">
        <f t="shared" si="0"/>
        <v>85387.174999999988</v>
      </c>
      <c r="F23" s="49" t="s">
        <v>183</v>
      </c>
      <c r="G23" s="50">
        <f t="shared" si="5"/>
        <v>85.387174999999985</v>
      </c>
      <c r="H23" s="49" t="s">
        <v>67</v>
      </c>
      <c r="I23" s="56">
        <f t="shared" si="10"/>
        <v>6.5616880000000002</v>
      </c>
      <c r="J23" s="50">
        <f t="shared" si="2"/>
        <v>507.61421319796955</v>
      </c>
      <c r="K23" s="49">
        <f t="shared" si="3"/>
        <v>3</v>
      </c>
      <c r="L23" s="87">
        <v>87</v>
      </c>
      <c r="M23" s="51">
        <f t="shared" si="6"/>
        <v>1.0760855434397461</v>
      </c>
      <c r="N23" s="51">
        <f t="shared" si="7"/>
        <v>4.0760855434397456</v>
      </c>
      <c r="O23" s="59">
        <f t="shared" ref="O23" si="24">O24</f>
        <v>107.9220773166947</v>
      </c>
      <c r="Q23" s="4">
        <v>49901.574999999997</v>
      </c>
      <c r="R23" s="4">
        <v>35485.599999999999</v>
      </c>
      <c r="V23" s="3"/>
      <c r="W23" s="3"/>
      <c r="X23" s="3"/>
      <c r="Y23" s="3"/>
      <c r="Z23" s="3"/>
    </row>
    <row r="24" spans="4:26" ht="16.5" x14ac:dyDescent="0.25">
      <c r="D24" s="58">
        <v>18</v>
      </c>
      <c r="E24" s="49">
        <f t="shared" si="0"/>
        <v>85387.174999999988</v>
      </c>
      <c r="F24" s="49" t="s">
        <v>183</v>
      </c>
      <c r="G24" s="50">
        <f t="shared" si="5"/>
        <v>85.387174999999985</v>
      </c>
      <c r="H24" s="49" t="s">
        <v>68</v>
      </c>
      <c r="I24" s="56">
        <f t="shared" si="10"/>
        <v>6.5616880000000002</v>
      </c>
      <c r="J24" s="50">
        <f t="shared" si="2"/>
        <v>507.61421319796955</v>
      </c>
      <c r="K24" s="49">
        <f t="shared" si="3"/>
        <v>3</v>
      </c>
      <c r="L24" s="87">
        <v>87</v>
      </c>
      <c r="M24" s="51">
        <f t="shared" si="6"/>
        <v>1.0760855434397461</v>
      </c>
      <c r="N24" s="51">
        <f t="shared" si="7"/>
        <v>4.0760855434397456</v>
      </c>
      <c r="O24" s="59">
        <f t="shared" ref="O24" si="25">O25+(N24+N24)</f>
        <v>107.9220773166947</v>
      </c>
      <c r="Q24" s="4">
        <v>49901.574999999997</v>
      </c>
      <c r="R24" s="4">
        <v>35485.599999999999</v>
      </c>
      <c r="V24" s="3"/>
      <c r="W24" s="3"/>
      <c r="X24" s="3"/>
      <c r="Y24" s="3"/>
      <c r="Z24" s="3"/>
    </row>
    <row r="25" spans="4:26" ht="16.5" x14ac:dyDescent="0.25">
      <c r="D25" s="58">
        <v>19</v>
      </c>
      <c r="E25" s="49">
        <f t="shared" si="0"/>
        <v>89822.875</v>
      </c>
      <c r="F25" s="49" t="s">
        <v>184</v>
      </c>
      <c r="G25" s="50">
        <f t="shared" si="5"/>
        <v>89.822874999999996</v>
      </c>
      <c r="H25" s="49" t="s">
        <v>69</v>
      </c>
      <c r="I25" s="56">
        <f t="shared" si="10"/>
        <v>6.5616880000000002</v>
      </c>
      <c r="J25" s="50">
        <f t="shared" si="2"/>
        <v>507.61421319796955</v>
      </c>
      <c r="K25" s="49">
        <f t="shared" si="3"/>
        <v>3</v>
      </c>
      <c r="L25" s="87">
        <v>81</v>
      </c>
      <c r="M25" s="51">
        <f t="shared" si="6"/>
        <v>1.0336893468308952</v>
      </c>
      <c r="N25" s="51">
        <f t="shared" si="7"/>
        <v>4.0336893468308954</v>
      </c>
      <c r="O25" s="59">
        <f t="shared" ref="O25" si="26">O26</f>
        <v>99.769906229815206</v>
      </c>
      <c r="Q25" s="4">
        <v>49901.574999999997</v>
      </c>
      <c r="R25" s="4">
        <v>39921.300000000003</v>
      </c>
      <c r="V25" s="3"/>
      <c r="W25" s="3"/>
      <c r="X25" s="3"/>
      <c r="Y25" s="3"/>
      <c r="Z25" s="3"/>
    </row>
    <row r="26" spans="4:26" ht="16.5" x14ac:dyDescent="0.25">
      <c r="D26" s="58">
        <v>20</v>
      </c>
      <c r="E26" s="49">
        <f t="shared" si="0"/>
        <v>89822.875</v>
      </c>
      <c r="F26" s="49" t="s">
        <v>184</v>
      </c>
      <c r="G26" s="50">
        <f t="shared" si="5"/>
        <v>89.822874999999996</v>
      </c>
      <c r="H26" s="49" t="s">
        <v>70</v>
      </c>
      <c r="I26" s="56">
        <f t="shared" si="10"/>
        <v>6.5616880000000002</v>
      </c>
      <c r="J26" s="50">
        <f t="shared" si="2"/>
        <v>507.61421319796955</v>
      </c>
      <c r="K26" s="49">
        <f t="shared" si="3"/>
        <v>3</v>
      </c>
      <c r="L26" s="87">
        <v>81</v>
      </c>
      <c r="M26" s="51">
        <f t="shared" si="6"/>
        <v>1.0336893468308952</v>
      </c>
      <c r="N26" s="51">
        <f t="shared" si="7"/>
        <v>4.0336893468308954</v>
      </c>
      <c r="O26" s="59">
        <f t="shared" ref="O26" si="27">O27+(N26+N26)</f>
        <v>99.769906229815206</v>
      </c>
      <c r="Q26" s="4">
        <v>49901.574999999997</v>
      </c>
      <c r="R26" s="4">
        <v>39921.300000000003</v>
      </c>
      <c r="V26" s="3"/>
      <c r="W26" s="3"/>
      <c r="X26" s="3"/>
      <c r="Y26" s="3"/>
      <c r="Z26" s="3"/>
    </row>
    <row r="27" spans="4:26" ht="16.5" x14ac:dyDescent="0.25">
      <c r="D27" s="58">
        <v>21</v>
      </c>
      <c r="E27" s="49">
        <f t="shared" si="0"/>
        <v>94258.574999999997</v>
      </c>
      <c r="F27" s="49" t="s">
        <v>185</v>
      </c>
      <c r="G27" s="50">
        <f t="shared" si="5"/>
        <v>94.258574999999993</v>
      </c>
      <c r="H27" s="49" t="s">
        <v>132</v>
      </c>
      <c r="I27" s="56">
        <f t="shared" si="10"/>
        <v>6.5616880000000002</v>
      </c>
      <c r="J27" s="50">
        <f t="shared" si="2"/>
        <v>507.61421319796955</v>
      </c>
      <c r="K27" s="49">
        <f t="shared" si="3"/>
        <v>3</v>
      </c>
      <c r="L27" s="87">
        <v>75</v>
      </c>
      <c r="M27" s="51">
        <f t="shared" si="6"/>
        <v>0.9898951080202586</v>
      </c>
      <c r="N27" s="51">
        <f t="shared" si="7"/>
        <v>3.9898951080202587</v>
      </c>
      <c r="O27" s="59">
        <f t="shared" ref="O27" si="28">O28</f>
        <v>91.702527536153411</v>
      </c>
      <c r="Q27" s="4">
        <v>49901.574999999997</v>
      </c>
      <c r="R27" s="4">
        <v>44357</v>
      </c>
      <c r="U27" s="1"/>
    </row>
    <row r="28" spans="4:26" ht="16.5" x14ac:dyDescent="0.25">
      <c r="D28" s="58">
        <v>22</v>
      </c>
      <c r="E28" s="49">
        <f t="shared" si="0"/>
        <v>94258.574999999997</v>
      </c>
      <c r="F28" s="49" t="s">
        <v>185</v>
      </c>
      <c r="G28" s="50">
        <f t="shared" si="5"/>
        <v>94.258574999999993</v>
      </c>
      <c r="H28" s="49" t="s">
        <v>133</v>
      </c>
      <c r="I28" s="56">
        <f t="shared" si="10"/>
        <v>6.5616880000000002</v>
      </c>
      <c r="J28" s="50">
        <f t="shared" si="2"/>
        <v>507.61421319796955</v>
      </c>
      <c r="K28" s="49">
        <f t="shared" si="3"/>
        <v>3</v>
      </c>
      <c r="L28" s="87">
        <v>75</v>
      </c>
      <c r="M28" s="51">
        <f t="shared" si="6"/>
        <v>0.9898951080202586</v>
      </c>
      <c r="N28" s="51">
        <f t="shared" si="7"/>
        <v>3.9898951080202587</v>
      </c>
      <c r="O28" s="59">
        <f t="shared" ref="O28" si="29">O29+(N28+N28)</f>
        <v>91.702527536153411</v>
      </c>
      <c r="Q28" s="4">
        <v>49901.574999999997</v>
      </c>
      <c r="R28" s="4">
        <v>44357</v>
      </c>
    </row>
    <row r="29" spans="4:26" ht="16.5" x14ac:dyDescent="0.25">
      <c r="D29" s="58">
        <v>23</v>
      </c>
      <c r="E29" s="49">
        <f t="shared" si="0"/>
        <v>98694.274999999994</v>
      </c>
      <c r="F29" s="49" t="s">
        <v>178</v>
      </c>
      <c r="G29" s="50">
        <f t="shared" si="5"/>
        <v>98.69427499999999</v>
      </c>
      <c r="H29" s="49" t="s">
        <v>134</v>
      </c>
      <c r="I29" s="56">
        <f t="shared" si="10"/>
        <v>6.5616880000000002</v>
      </c>
      <c r="J29" s="50">
        <f t="shared" si="2"/>
        <v>507.61421319796955</v>
      </c>
      <c r="K29" s="49">
        <f t="shared" si="3"/>
        <v>3</v>
      </c>
      <c r="L29" s="87">
        <v>69</v>
      </c>
      <c r="M29" s="51">
        <f t="shared" si="6"/>
        <v>0.94453886135553655</v>
      </c>
      <c r="N29" s="51">
        <f t="shared" si="7"/>
        <v>3.9445388613555368</v>
      </c>
      <c r="O29" s="59">
        <f t="shared" ref="O29" si="30">O30</f>
        <v>83.722737320112898</v>
      </c>
      <c r="Q29" s="4">
        <v>49901.574999999997</v>
      </c>
      <c r="R29" s="4">
        <v>48792.7</v>
      </c>
    </row>
    <row r="30" spans="4:26" ht="16.5" x14ac:dyDescent="0.25">
      <c r="D30" s="58">
        <v>24</v>
      </c>
      <c r="E30" s="49">
        <f t="shared" si="0"/>
        <v>98694.274999999994</v>
      </c>
      <c r="F30" s="49" t="s">
        <v>178</v>
      </c>
      <c r="G30" s="50">
        <f t="shared" si="5"/>
        <v>98.69427499999999</v>
      </c>
      <c r="H30" s="49" t="s">
        <v>135</v>
      </c>
      <c r="I30" s="56">
        <f t="shared" si="10"/>
        <v>6.5616880000000002</v>
      </c>
      <c r="J30" s="50">
        <f t="shared" si="2"/>
        <v>507.61421319796955</v>
      </c>
      <c r="K30" s="49">
        <f t="shared" si="3"/>
        <v>3</v>
      </c>
      <c r="L30" s="87">
        <v>69</v>
      </c>
      <c r="M30" s="51">
        <f t="shared" si="6"/>
        <v>0.94453886135553655</v>
      </c>
      <c r="N30" s="51">
        <f t="shared" si="7"/>
        <v>3.9445388613555368</v>
      </c>
      <c r="O30" s="59">
        <f t="shared" ref="O30" si="31">O31+(N30+N30)</f>
        <v>83.722737320112898</v>
      </c>
      <c r="Q30" s="4">
        <v>49901.574999999997</v>
      </c>
      <c r="R30" s="4">
        <v>48792.7</v>
      </c>
    </row>
    <row r="31" spans="4:26" ht="16.5" x14ac:dyDescent="0.25">
      <c r="D31" s="58">
        <v>25</v>
      </c>
      <c r="E31" s="49">
        <f t="shared" si="0"/>
        <v>103129.97500000001</v>
      </c>
      <c r="F31" s="49" t="s">
        <v>186</v>
      </c>
      <c r="G31" s="50">
        <f t="shared" si="5"/>
        <v>103.129975</v>
      </c>
      <c r="H31" s="49" t="s">
        <v>136</v>
      </c>
      <c r="I31" s="56">
        <f t="shared" si="10"/>
        <v>6.5616880000000002</v>
      </c>
      <c r="J31" s="50">
        <f t="shared" si="2"/>
        <v>507.61421319796955</v>
      </c>
      <c r="K31" s="49">
        <f t="shared" si="3"/>
        <v>3</v>
      </c>
      <c r="L31" s="87">
        <v>63</v>
      </c>
      <c r="M31" s="51">
        <f t="shared" si="6"/>
        <v>0.89742110010519183</v>
      </c>
      <c r="N31" s="51">
        <f t="shared" si="7"/>
        <v>3.8974211001051917</v>
      </c>
      <c r="O31" s="59">
        <f t="shared" ref="O31" si="32">O32</f>
        <v>75.833659597401819</v>
      </c>
      <c r="Q31" s="4">
        <v>49901.574999999997</v>
      </c>
      <c r="R31" s="4">
        <v>53228.4</v>
      </c>
    </row>
    <row r="32" spans="4:26" ht="16.5" x14ac:dyDescent="0.25">
      <c r="D32" s="58">
        <v>26</v>
      </c>
      <c r="E32" s="49">
        <f t="shared" si="0"/>
        <v>103129.97500000001</v>
      </c>
      <c r="F32" s="49" t="s">
        <v>186</v>
      </c>
      <c r="G32" s="50">
        <f t="shared" si="5"/>
        <v>103.129975</v>
      </c>
      <c r="H32" s="49" t="s">
        <v>137</v>
      </c>
      <c r="I32" s="56">
        <f t="shared" si="10"/>
        <v>6.5616880000000002</v>
      </c>
      <c r="J32" s="50">
        <f t="shared" si="2"/>
        <v>507.61421319796955</v>
      </c>
      <c r="K32" s="49">
        <f t="shared" si="3"/>
        <v>3</v>
      </c>
      <c r="L32" s="87">
        <v>63</v>
      </c>
      <c r="M32" s="51">
        <f t="shared" si="6"/>
        <v>0.89742110010519183</v>
      </c>
      <c r="N32" s="51">
        <f t="shared" si="7"/>
        <v>3.8974211001051917</v>
      </c>
      <c r="O32" s="59">
        <f t="shared" ref="O32" si="33">O33+(N32+N32)</f>
        <v>75.833659597401819</v>
      </c>
      <c r="Q32" s="4">
        <v>49901.574999999997</v>
      </c>
      <c r="R32" s="4">
        <v>53228.4</v>
      </c>
    </row>
    <row r="33" spans="4:18" ht="16.5" x14ac:dyDescent="0.25">
      <c r="D33" s="58">
        <v>27</v>
      </c>
      <c r="E33" s="49">
        <f t="shared" si="0"/>
        <v>107565.67499999999</v>
      </c>
      <c r="F33" s="49" t="s">
        <v>187</v>
      </c>
      <c r="G33" s="50">
        <f t="shared" si="5"/>
        <v>107.56567499999998</v>
      </c>
      <c r="H33" s="49" t="s">
        <v>138</v>
      </c>
      <c r="I33" s="56">
        <f t="shared" si="10"/>
        <v>6.5616880000000002</v>
      </c>
      <c r="J33" s="50">
        <f t="shared" si="2"/>
        <v>507.61421319796955</v>
      </c>
      <c r="K33" s="49">
        <f t="shared" si="3"/>
        <v>3</v>
      </c>
      <c r="L33" s="87">
        <v>57</v>
      </c>
      <c r="M33" s="51">
        <f t="shared" si="6"/>
        <v>0.8482948368375608</v>
      </c>
      <c r="N33" s="51">
        <f t="shared" si="7"/>
        <v>3.8482948368375607</v>
      </c>
      <c r="O33" s="59">
        <f t="shared" ref="O33" si="34">O34</f>
        <v>68.038817397191437</v>
      </c>
      <c r="Q33" s="4">
        <v>49901.574999999997</v>
      </c>
      <c r="R33" s="4">
        <v>57664.1</v>
      </c>
    </row>
    <row r="34" spans="4:18" ht="16.5" x14ac:dyDescent="0.25">
      <c r="D34" s="58">
        <v>28</v>
      </c>
      <c r="E34" s="49">
        <f t="shared" si="0"/>
        <v>107565.67499999999</v>
      </c>
      <c r="F34" s="49" t="s">
        <v>187</v>
      </c>
      <c r="G34" s="50">
        <f t="shared" si="5"/>
        <v>107.56567499999998</v>
      </c>
      <c r="H34" s="49" t="s">
        <v>139</v>
      </c>
      <c r="I34" s="56">
        <f t="shared" si="10"/>
        <v>6.5616880000000002</v>
      </c>
      <c r="J34" s="50">
        <f t="shared" si="2"/>
        <v>507.61421319796955</v>
      </c>
      <c r="K34" s="49">
        <f t="shared" si="3"/>
        <v>3</v>
      </c>
      <c r="L34" s="87">
        <v>57</v>
      </c>
      <c r="M34" s="51">
        <f t="shared" si="6"/>
        <v>0.8482948368375608</v>
      </c>
      <c r="N34" s="51">
        <f t="shared" si="7"/>
        <v>3.8482948368375607</v>
      </c>
      <c r="O34" s="59">
        <f t="shared" ref="O34" si="35">O35+(N34+N34)</f>
        <v>68.038817397191437</v>
      </c>
      <c r="Q34" s="4">
        <v>49901.574999999997</v>
      </c>
      <c r="R34" s="4">
        <v>57664.1</v>
      </c>
    </row>
    <row r="35" spans="4:18" ht="16.5" x14ac:dyDescent="0.25">
      <c r="D35" s="58">
        <v>29</v>
      </c>
      <c r="E35" s="49">
        <f t="shared" si="0"/>
        <v>112001.375</v>
      </c>
      <c r="F35" s="49" t="s">
        <v>188</v>
      </c>
      <c r="G35" s="50">
        <f t="shared" si="5"/>
        <v>112.001375</v>
      </c>
      <c r="H35" s="49" t="s">
        <v>140</v>
      </c>
      <c r="I35" s="56">
        <f t="shared" si="10"/>
        <v>6.5616880000000002</v>
      </c>
      <c r="J35" s="50">
        <f t="shared" si="2"/>
        <v>507.61421319796955</v>
      </c>
      <c r="K35" s="49">
        <f t="shared" si="3"/>
        <v>3</v>
      </c>
      <c r="L35" s="87">
        <v>51</v>
      </c>
      <c r="M35" s="51">
        <f t="shared" si="6"/>
        <v>0.79684791644580588</v>
      </c>
      <c r="N35" s="51">
        <f t="shared" si="7"/>
        <v>3.796847916445806</v>
      </c>
      <c r="O35" s="59">
        <f t="shared" ref="O35" si="36">O36</f>
        <v>60.342227723516316</v>
      </c>
      <c r="Q35" s="4">
        <v>49901.574999999997</v>
      </c>
      <c r="R35" s="4">
        <v>62099.8</v>
      </c>
    </row>
    <row r="36" spans="4:18" ht="16.5" x14ac:dyDescent="0.25">
      <c r="D36" s="58">
        <v>30</v>
      </c>
      <c r="E36" s="49">
        <f t="shared" si="0"/>
        <v>112001.375</v>
      </c>
      <c r="F36" s="49" t="s">
        <v>188</v>
      </c>
      <c r="G36" s="50">
        <f t="shared" si="5"/>
        <v>112.001375</v>
      </c>
      <c r="H36" s="49" t="s">
        <v>141</v>
      </c>
      <c r="I36" s="56">
        <f t="shared" si="10"/>
        <v>6.5616880000000002</v>
      </c>
      <c r="J36" s="50">
        <f t="shared" si="2"/>
        <v>507.61421319796955</v>
      </c>
      <c r="K36" s="49">
        <f t="shared" si="3"/>
        <v>3</v>
      </c>
      <c r="L36" s="87">
        <v>51</v>
      </c>
      <c r="M36" s="51">
        <f t="shared" si="6"/>
        <v>0.79684791644580588</v>
      </c>
      <c r="N36" s="51">
        <f t="shared" si="7"/>
        <v>3.796847916445806</v>
      </c>
      <c r="O36" s="59">
        <f t="shared" ref="O36" si="37">O37+(N36+N36)</f>
        <v>60.342227723516316</v>
      </c>
      <c r="Q36" s="4">
        <v>49901.574999999997</v>
      </c>
      <c r="R36" s="4">
        <v>62099.8</v>
      </c>
    </row>
    <row r="37" spans="4:18" ht="16.5" x14ac:dyDescent="0.25">
      <c r="D37" s="58">
        <v>31</v>
      </c>
      <c r="E37" s="49">
        <f t="shared" si="0"/>
        <v>116437.075</v>
      </c>
      <c r="F37" s="49" t="s">
        <v>189</v>
      </c>
      <c r="G37" s="50">
        <f t="shared" si="5"/>
        <v>116.43707499999999</v>
      </c>
      <c r="H37" s="49" t="s">
        <v>142</v>
      </c>
      <c r="I37" s="56">
        <f t="shared" si="10"/>
        <v>6.5616880000000002</v>
      </c>
      <c r="J37" s="50">
        <f t="shared" si="2"/>
        <v>507.61421319796955</v>
      </c>
      <c r="K37" s="49">
        <f t="shared" si="3"/>
        <v>3</v>
      </c>
      <c r="L37" s="87">
        <v>45</v>
      </c>
      <c r="M37" s="51">
        <f t="shared" si="6"/>
        <v>0.74267577201875534</v>
      </c>
      <c r="N37" s="51">
        <f t="shared" si="7"/>
        <v>3.7426757720187553</v>
      </c>
      <c r="O37" s="59">
        <f t="shared" ref="O37" si="38">O38</f>
        <v>52.748531890624704</v>
      </c>
      <c r="Q37" s="4">
        <v>49901.574999999997</v>
      </c>
      <c r="R37" s="4">
        <v>66535.5</v>
      </c>
    </row>
    <row r="38" spans="4:18" ht="16.5" x14ac:dyDescent="0.25">
      <c r="D38" s="58">
        <v>32</v>
      </c>
      <c r="E38" s="49">
        <f t="shared" si="0"/>
        <v>116437.075</v>
      </c>
      <c r="F38" s="49" t="s">
        <v>189</v>
      </c>
      <c r="G38" s="50">
        <f t="shared" si="5"/>
        <v>116.43707499999999</v>
      </c>
      <c r="H38" s="49" t="s">
        <v>143</v>
      </c>
      <c r="I38" s="56">
        <f t="shared" si="10"/>
        <v>6.5616880000000002</v>
      </c>
      <c r="J38" s="50">
        <f t="shared" si="2"/>
        <v>507.61421319796955</v>
      </c>
      <c r="K38" s="49">
        <f t="shared" si="3"/>
        <v>3</v>
      </c>
      <c r="L38" s="87">
        <v>45</v>
      </c>
      <c r="M38" s="51">
        <f t="shared" si="6"/>
        <v>0.74267577201875534</v>
      </c>
      <c r="N38" s="51">
        <f t="shared" si="7"/>
        <v>3.7426757720187553</v>
      </c>
      <c r="O38" s="59">
        <f t="shared" ref="O38" si="39">O39+(N38+N38)</f>
        <v>52.748531890624704</v>
      </c>
      <c r="Q38" s="4">
        <v>49901.574999999997</v>
      </c>
      <c r="R38" s="4">
        <v>66535.5</v>
      </c>
    </row>
    <row r="39" spans="4:18" ht="16.5" x14ac:dyDescent="0.25">
      <c r="D39" s="58">
        <v>33</v>
      </c>
      <c r="E39" s="49">
        <f t="shared" si="0"/>
        <v>120872.77499999999</v>
      </c>
      <c r="F39" s="49" t="s">
        <v>190</v>
      </c>
      <c r="G39" s="50">
        <f t="shared" si="5"/>
        <v>120.87277499999999</v>
      </c>
      <c r="H39" s="49" t="s">
        <v>144</v>
      </c>
      <c r="I39" s="56">
        <f t="shared" si="10"/>
        <v>6.5616880000000002</v>
      </c>
      <c r="J39" s="50">
        <f t="shared" si="2"/>
        <v>507.61421319796955</v>
      </c>
      <c r="K39" s="49">
        <f t="shared" si="3"/>
        <v>3</v>
      </c>
      <c r="L39" s="87">
        <v>39</v>
      </c>
      <c r="M39" s="51">
        <f t="shared" si="6"/>
        <v>0.68523740037032577</v>
      </c>
      <c r="N39" s="51">
        <f t="shared" si="7"/>
        <v>3.6852374003703257</v>
      </c>
      <c r="O39" s="59">
        <f t="shared" ref="O39" si="40">O40</f>
        <v>45.263180346587191</v>
      </c>
      <c r="Q39" s="4">
        <v>49901.574999999997</v>
      </c>
      <c r="R39" s="4">
        <v>70971.199999999997</v>
      </c>
    </row>
    <row r="40" spans="4:18" ht="16.5" x14ac:dyDescent="0.25">
      <c r="D40" s="58">
        <v>34</v>
      </c>
      <c r="E40" s="49">
        <f t="shared" si="0"/>
        <v>120872.77499999999</v>
      </c>
      <c r="F40" s="49" t="s">
        <v>190</v>
      </c>
      <c r="G40" s="50">
        <f t="shared" si="5"/>
        <v>120.87277499999999</v>
      </c>
      <c r="H40" s="49" t="s">
        <v>145</v>
      </c>
      <c r="I40" s="56">
        <f t="shared" si="10"/>
        <v>6.5616880000000002</v>
      </c>
      <c r="J40" s="50">
        <f t="shared" si="2"/>
        <v>507.61421319796955</v>
      </c>
      <c r="K40" s="49">
        <f t="shared" si="3"/>
        <v>3</v>
      </c>
      <c r="L40" s="87">
        <v>39</v>
      </c>
      <c r="M40" s="51">
        <f t="shared" si="6"/>
        <v>0.68523740037032577</v>
      </c>
      <c r="N40" s="51">
        <f t="shared" si="7"/>
        <v>3.6852374003703257</v>
      </c>
      <c r="O40" s="59">
        <f t="shared" ref="O40" si="41">O41+(N40+N40)</f>
        <v>45.263180346587191</v>
      </c>
      <c r="Q40" s="4">
        <v>49901.574999999997</v>
      </c>
      <c r="R40" s="4">
        <v>70971.199999999997</v>
      </c>
    </row>
    <row r="41" spans="4:18" ht="16.5" x14ac:dyDescent="0.25">
      <c r="D41" s="58">
        <v>35</v>
      </c>
      <c r="E41" s="49">
        <f t="shared" si="0"/>
        <v>125308.47499999999</v>
      </c>
      <c r="F41" s="49" t="s">
        <v>191</v>
      </c>
      <c r="G41" s="50">
        <f t="shared" si="5"/>
        <v>125.30847499999999</v>
      </c>
      <c r="H41" s="49" t="s">
        <v>146</v>
      </c>
      <c r="I41" s="56">
        <f t="shared" si="10"/>
        <v>6.5616880000000002</v>
      </c>
      <c r="J41" s="50">
        <f t="shared" si="2"/>
        <v>507.61421319796955</v>
      </c>
      <c r="K41" s="49">
        <f t="shared" si="3"/>
        <v>3</v>
      </c>
      <c r="L41" s="87">
        <v>33</v>
      </c>
      <c r="M41" s="51">
        <f t="shared" si="6"/>
        <v>0.62377980249873477</v>
      </c>
      <c r="N41" s="51">
        <f t="shared" si="7"/>
        <v>3.6237798024987349</v>
      </c>
      <c r="O41" s="59">
        <f t="shared" ref="O41" si="42">O42</f>
        <v>37.892705545846539</v>
      </c>
      <c r="Q41" s="4">
        <v>49901.574999999997</v>
      </c>
      <c r="R41" s="4">
        <v>75406.899999999994</v>
      </c>
    </row>
    <row r="42" spans="4:18" ht="16.5" x14ac:dyDescent="0.25">
      <c r="D42" s="58">
        <v>36</v>
      </c>
      <c r="E42" s="49">
        <f t="shared" si="0"/>
        <v>125308.47499999999</v>
      </c>
      <c r="F42" s="49" t="s">
        <v>191</v>
      </c>
      <c r="G42" s="50">
        <f t="shared" si="5"/>
        <v>125.30847499999999</v>
      </c>
      <c r="H42" s="49" t="s">
        <v>147</v>
      </c>
      <c r="I42" s="56">
        <f t="shared" si="10"/>
        <v>6.5616880000000002</v>
      </c>
      <c r="J42" s="50">
        <f t="shared" si="2"/>
        <v>507.61421319796955</v>
      </c>
      <c r="K42" s="49">
        <f t="shared" si="3"/>
        <v>3</v>
      </c>
      <c r="L42" s="87">
        <v>33</v>
      </c>
      <c r="M42" s="51">
        <f t="shared" si="6"/>
        <v>0.62377980249873477</v>
      </c>
      <c r="N42" s="51">
        <f t="shared" si="7"/>
        <v>3.6237798024987349</v>
      </c>
      <c r="O42" s="59">
        <f t="shared" ref="O42" si="43">O43+(N42+N42)</f>
        <v>37.892705545846539</v>
      </c>
      <c r="Q42" s="4">
        <v>49901.574999999997</v>
      </c>
      <c r="R42" s="4">
        <v>75406.899999999994</v>
      </c>
    </row>
    <row r="43" spans="4:18" ht="16.5" x14ac:dyDescent="0.25">
      <c r="D43" s="58">
        <v>37</v>
      </c>
      <c r="E43" s="49">
        <f t="shared" si="0"/>
        <v>129744.175</v>
      </c>
      <c r="F43" s="49" t="s">
        <v>192</v>
      </c>
      <c r="G43" s="50">
        <f t="shared" si="5"/>
        <v>129.74417500000001</v>
      </c>
      <c r="H43" s="49" t="s">
        <v>148</v>
      </c>
      <c r="I43" s="56">
        <f t="shared" si="10"/>
        <v>6.5616880000000002</v>
      </c>
      <c r="J43" s="50">
        <f t="shared" si="2"/>
        <v>507.61421319796955</v>
      </c>
      <c r="K43" s="49">
        <f t="shared" si="3"/>
        <v>3</v>
      </c>
      <c r="L43" s="87">
        <v>27</v>
      </c>
      <c r="M43" s="51">
        <f t="shared" si="6"/>
        <v>0.55719772516783295</v>
      </c>
      <c r="N43" s="51">
        <f t="shared" si="7"/>
        <v>3.5571977251678328</v>
      </c>
      <c r="O43" s="59">
        <f t="shared" ref="O43" si="44">O44</f>
        <v>30.645145940849069</v>
      </c>
      <c r="Q43" s="4">
        <v>49901.574999999997</v>
      </c>
      <c r="R43" s="4">
        <v>79842.600000000006</v>
      </c>
    </row>
    <row r="44" spans="4:18" ht="16.5" x14ac:dyDescent="0.25">
      <c r="D44" s="58">
        <v>38</v>
      </c>
      <c r="E44" s="49">
        <f t="shared" si="0"/>
        <v>129744.175</v>
      </c>
      <c r="F44" s="49" t="s">
        <v>192</v>
      </c>
      <c r="G44" s="50">
        <f t="shared" si="5"/>
        <v>129.74417500000001</v>
      </c>
      <c r="H44" s="49" t="s">
        <v>149</v>
      </c>
      <c r="I44" s="56">
        <f t="shared" si="10"/>
        <v>6.5616880000000002</v>
      </c>
      <c r="J44" s="50">
        <f t="shared" si="2"/>
        <v>507.61421319796955</v>
      </c>
      <c r="K44" s="49">
        <f t="shared" si="3"/>
        <v>3</v>
      </c>
      <c r="L44" s="87">
        <v>27</v>
      </c>
      <c r="M44" s="51">
        <f t="shared" si="6"/>
        <v>0.55719772516783295</v>
      </c>
      <c r="N44" s="51">
        <f t="shared" si="7"/>
        <v>3.5571977251678328</v>
      </c>
      <c r="O44" s="59">
        <f t="shared" ref="O44" si="45">O45+(N44+N44)</f>
        <v>30.645145940849069</v>
      </c>
      <c r="Q44" s="4">
        <v>49901.574999999997</v>
      </c>
      <c r="R44" s="4">
        <v>79842.600000000006</v>
      </c>
    </row>
    <row r="45" spans="4:18" ht="16.5" x14ac:dyDescent="0.25">
      <c r="D45" s="58">
        <v>39</v>
      </c>
      <c r="E45" s="49">
        <f t="shared" si="0"/>
        <v>134179.875</v>
      </c>
      <c r="F45" s="49" t="s">
        <v>193</v>
      </c>
      <c r="G45" s="50">
        <f t="shared" si="5"/>
        <v>134.17987500000001</v>
      </c>
      <c r="H45" s="49" t="s">
        <v>150</v>
      </c>
      <c r="I45" s="56">
        <f t="shared" si="10"/>
        <v>6.5616880000000002</v>
      </c>
      <c r="J45" s="50">
        <f t="shared" si="2"/>
        <v>507.61421319796955</v>
      </c>
      <c r="K45" s="49">
        <f t="shared" si="3"/>
        <v>3</v>
      </c>
      <c r="L45" s="87">
        <v>21</v>
      </c>
      <c r="M45" s="51">
        <f t="shared" si="6"/>
        <v>0.4837439768817029</v>
      </c>
      <c r="N45" s="51">
        <f t="shared" si="7"/>
        <v>3.4837439768817031</v>
      </c>
      <c r="O45" s="59">
        <f t="shared" ref="O45" si="46">O46</f>
        <v>23.530750490513405</v>
      </c>
      <c r="Q45" s="4">
        <v>49901.574999999997</v>
      </c>
      <c r="R45" s="4">
        <v>84278.3</v>
      </c>
    </row>
    <row r="46" spans="4:18" ht="16.5" x14ac:dyDescent="0.25">
      <c r="D46" s="58">
        <v>40</v>
      </c>
      <c r="E46" s="49">
        <f t="shared" si="0"/>
        <v>134179.875</v>
      </c>
      <c r="F46" s="49" t="s">
        <v>193</v>
      </c>
      <c r="G46" s="50">
        <f t="shared" si="5"/>
        <v>134.17987500000001</v>
      </c>
      <c r="H46" s="49" t="s">
        <v>151</v>
      </c>
      <c r="I46" s="56">
        <f t="shared" si="10"/>
        <v>6.5616880000000002</v>
      </c>
      <c r="J46" s="50">
        <f t="shared" si="2"/>
        <v>507.61421319796955</v>
      </c>
      <c r="K46" s="49">
        <f t="shared" si="3"/>
        <v>3</v>
      </c>
      <c r="L46" s="87">
        <v>21</v>
      </c>
      <c r="M46" s="51">
        <f t="shared" si="6"/>
        <v>0.4837439768817029</v>
      </c>
      <c r="N46" s="51">
        <f t="shared" si="7"/>
        <v>3.4837439768817031</v>
      </c>
      <c r="O46" s="59">
        <f t="shared" ref="O46" si="47">O47+(N46+N46)</f>
        <v>23.530750490513405</v>
      </c>
      <c r="Q46" s="4">
        <v>49901.574999999997</v>
      </c>
      <c r="R46" s="4">
        <v>84278.3</v>
      </c>
    </row>
    <row r="47" spans="4:18" ht="16.5" x14ac:dyDescent="0.25">
      <c r="D47" s="58">
        <v>41</v>
      </c>
      <c r="E47" s="49">
        <f t="shared" si="0"/>
        <v>138615.57500000001</v>
      </c>
      <c r="F47" s="49" t="s">
        <v>194</v>
      </c>
      <c r="G47" s="50">
        <f t="shared" si="5"/>
        <v>138.61557500000001</v>
      </c>
      <c r="H47" s="49" t="s">
        <v>152</v>
      </c>
      <c r="I47" s="56">
        <f t="shared" si="10"/>
        <v>6.5616880000000002</v>
      </c>
      <c r="J47" s="50">
        <f t="shared" si="2"/>
        <v>507.61421319796955</v>
      </c>
      <c r="K47" s="49">
        <f t="shared" si="3"/>
        <v>3</v>
      </c>
      <c r="L47" s="87">
        <v>15</v>
      </c>
      <c r="M47" s="51">
        <f t="shared" si="6"/>
        <v>0.40033038163235757</v>
      </c>
      <c r="N47" s="51">
        <f t="shared" si="7"/>
        <v>3.4003303816323576</v>
      </c>
      <c r="O47" s="59">
        <f>O48</f>
        <v>16.563262536749999</v>
      </c>
      <c r="Q47" s="4">
        <v>49901.574999999997</v>
      </c>
      <c r="R47" s="4">
        <v>88714</v>
      </c>
    </row>
    <row r="48" spans="4:18" ht="16.5" x14ac:dyDescent="0.25">
      <c r="D48" s="58">
        <v>42</v>
      </c>
      <c r="E48" s="49">
        <f t="shared" si="0"/>
        <v>138615.57500000001</v>
      </c>
      <c r="F48" s="49" t="s">
        <v>194</v>
      </c>
      <c r="G48" s="50">
        <f t="shared" si="5"/>
        <v>138.61557500000001</v>
      </c>
      <c r="H48" s="49" t="s">
        <v>153</v>
      </c>
      <c r="I48" s="56">
        <f t="shared" si="10"/>
        <v>6.5616880000000002</v>
      </c>
      <c r="J48" s="50">
        <f t="shared" si="2"/>
        <v>507.61421319796955</v>
      </c>
      <c r="K48" s="49">
        <f t="shared" si="3"/>
        <v>3</v>
      </c>
      <c r="L48" s="87">
        <v>15</v>
      </c>
      <c r="M48" s="51">
        <f t="shared" si="6"/>
        <v>0.40033038163235757</v>
      </c>
      <c r="N48" s="51">
        <f t="shared" si="7"/>
        <v>3.4003303816323576</v>
      </c>
      <c r="O48" s="59">
        <f>O49+(N48+N48)</f>
        <v>16.563262536749999</v>
      </c>
      <c r="Q48" s="4">
        <v>49901.574999999997</v>
      </c>
      <c r="R48" s="4">
        <v>88714</v>
      </c>
    </row>
    <row r="49" spans="4:18" ht="16.5" x14ac:dyDescent="0.25">
      <c r="D49" s="58">
        <v>43</v>
      </c>
      <c r="E49" s="49">
        <f t="shared" si="0"/>
        <v>143051.27499999999</v>
      </c>
      <c r="F49" s="49" t="s">
        <v>195</v>
      </c>
      <c r="G49" s="50">
        <f t="shared" si="5"/>
        <v>143.051275</v>
      </c>
      <c r="H49" s="49" t="s">
        <v>154</v>
      </c>
      <c r="I49" s="56">
        <f t="shared" si="10"/>
        <v>6.5616880000000002</v>
      </c>
      <c r="J49" s="50">
        <f t="shared" si="2"/>
        <v>507.61421319796955</v>
      </c>
      <c r="K49" s="49">
        <f t="shared" si="3"/>
        <v>3</v>
      </c>
      <c r="L49" s="87">
        <v>9</v>
      </c>
      <c r="M49" s="51">
        <f t="shared" si="6"/>
        <v>0.3003506864843396</v>
      </c>
      <c r="N49" s="51">
        <f t="shared" si="7"/>
        <v>3.3003506864843395</v>
      </c>
      <c r="O49" s="59">
        <f>O50</f>
        <v>9.7626017734852848</v>
      </c>
      <c r="Q49" s="4">
        <v>49901.574999999997</v>
      </c>
      <c r="R49" s="4">
        <v>93149.7</v>
      </c>
    </row>
    <row r="50" spans="4:18" ht="16.5" x14ac:dyDescent="0.25">
      <c r="D50" s="58">
        <v>44</v>
      </c>
      <c r="E50" s="49">
        <f t="shared" si="0"/>
        <v>143051.27499999999</v>
      </c>
      <c r="F50" s="49" t="s">
        <v>195</v>
      </c>
      <c r="G50" s="50">
        <f t="shared" si="5"/>
        <v>143.051275</v>
      </c>
      <c r="H50" s="49" t="s">
        <v>155</v>
      </c>
      <c r="I50" s="56">
        <f t="shared" si="10"/>
        <v>6.5616880000000002</v>
      </c>
      <c r="J50" s="50">
        <f t="shared" si="2"/>
        <v>507.61421319796955</v>
      </c>
      <c r="K50" s="49">
        <f t="shared" si="3"/>
        <v>3</v>
      </c>
      <c r="L50" s="87">
        <v>9</v>
      </c>
      <c r="M50" s="51">
        <f t="shared" si="6"/>
        <v>0.3003506864843396</v>
      </c>
      <c r="N50" s="51">
        <f t="shared" si="7"/>
        <v>3.3003506864843395</v>
      </c>
      <c r="O50" s="59">
        <f>O51+(N50+N50)</f>
        <v>9.7626017734852848</v>
      </c>
      <c r="Q50" s="4">
        <v>49901.574999999997</v>
      </c>
      <c r="R50" s="4">
        <v>93149.7</v>
      </c>
    </row>
    <row r="51" spans="4:18" ht="16.5" x14ac:dyDescent="0.25">
      <c r="D51" s="58">
        <v>45</v>
      </c>
      <c r="E51" s="49">
        <f t="shared" si="0"/>
        <v>147486.97499999998</v>
      </c>
      <c r="F51" s="49" t="s">
        <v>196</v>
      </c>
      <c r="G51" s="50">
        <f t="shared" si="5"/>
        <v>147.48697499999997</v>
      </c>
      <c r="H51" s="49" t="s">
        <v>156</v>
      </c>
      <c r="I51" s="56">
        <f t="shared" si="10"/>
        <v>6.5616880000000002</v>
      </c>
      <c r="J51" s="50">
        <f t="shared" si="2"/>
        <v>507.61421319796955</v>
      </c>
      <c r="K51" s="49">
        <f t="shared" si="3"/>
        <v>3</v>
      </c>
      <c r="L51" s="87">
        <v>3</v>
      </c>
      <c r="M51" s="51">
        <f t="shared" si="6"/>
        <v>0.16190040051660623</v>
      </c>
      <c r="N51" s="51">
        <f t="shared" si="7"/>
        <v>3.1619004005166063</v>
      </c>
      <c r="O51" s="59">
        <f>O52</f>
        <v>3.1619004005166063</v>
      </c>
      <c r="Q51" s="4">
        <v>49901.574999999997</v>
      </c>
      <c r="R51" s="4">
        <v>97585.4</v>
      </c>
    </row>
    <row r="52" spans="4:18" ht="17.25" thickBot="1" x14ac:dyDescent="0.3">
      <c r="D52" s="60">
        <v>46</v>
      </c>
      <c r="E52" s="61">
        <f t="shared" si="0"/>
        <v>147486.97499999998</v>
      </c>
      <c r="F52" s="61" t="s">
        <v>196</v>
      </c>
      <c r="G52" s="50">
        <f t="shared" si="5"/>
        <v>147.48697499999997</v>
      </c>
      <c r="H52" s="61" t="s">
        <v>157</v>
      </c>
      <c r="I52" s="62">
        <f t="shared" si="10"/>
        <v>6.5616880000000002</v>
      </c>
      <c r="J52" s="63">
        <f t="shared" si="2"/>
        <v>507.61421319796955</v>
      </c>
      <c r="K52" s="61">
        <f t="shared" si="3"/>
        <v>3</v>
      </c>
      <c r="L52" s="88">
        <v>3</v>
      </c>
      <c r="M52" s="64">
        <f t="shared" si="6"/>
        <v>0.16190040051660623</v>
      </c>
      <c r="N52" s="64">
        <f t="shared" si="7"/>
        <v>3.1619004005166063</v>
      </c>
      <c r="O52" s="65">
        <f>N52</f>
        <v>3.1619004005166063</v>
      </c>
      <c r="Q52" s="4">
        <v>49901.574999999997</v>
      </c>
      <c r="R52" s="4">
        <v>97585.4</v>
      </c>
    </row>
    <row r="53" spans="4:18" x14ac:dyDescent="0.25">
      <c r="F53" s="5"/>
      <c r="G53" s="5"/>
      <c r="H53" s="5"/>
      <c r="I53" s="57"/>
      <c r="J53" s="5"/>
      <c r="Q53" s="4"/>
      <c r="R53" s="4"/>
    </row>
    <row r="54" spans="4:18" x14ac:dyDescent="0.25">
      <c r="F54" s="5"/>
      <c r="G54" s="5"/>
      <c r="H54" s="5"/>
      <c r="I54" s="57"/>
      <c r="J54" s="5"/>
    </row>
    <row r="55" spans="4:18" x14ac:dyDescent="0.25">
      <c r="F55" s="5"/>
      <c r="G55" s="5"/>
      <c r="H55" s="5"/>
      <c r="I55" s="57"/>
      <c r="J55" s="5"/>
    </row>
    <row r="56" spans="4:18" x14ac:dyDescent="0.25">
      <c r="F56" s="5"/>
      <c r="G56" s="5"/>
      <c r="H56" s="5"/>
      <c r="I56" s="57"/>
      <c r="J56" s="5"/>
    </row>
    <row r="57" spans="4:18" x14ac:dyDescent="0.25">
      <c r="F57" s="5"/>
      <c r="G57" s="5"/>
      <c r="H57" s="5"/>
      <c r="I57" s="57"/>
      <c r="J57" s="5"/>
    </row>
    <row r="58" spans="4:18" x14ac:dyDescent="0.25">
      <c r="F58" s="5"/>
      <c r="G58" s="5"/>
      <c r="H58" s="5"/>
      <c r="I58" s="57"/>
      <c r="J58" s="5"/>
    </row>
    <row r="59" spans="4:18" x14ac:dyDescent="0.25">
      <c r="F59" s="5"/>
      <c r="G59" s="5"/>
      <c r="H59" s="5"/>
      <c r="I59" s="57"/>
      <c r="J59" s="5"/>
    </row>
    <row r="60" spans="4:18" x14ac:dyDescent="0.25">
      <c r="F60" s="5"/>
      <c r="G60" s="5"/>
      <c r="H60" s="5"/>
      <c r="I60" s="57"/>
      <c r="J60" s="5"/>
    </row>
    <row r="61" spans="4:18" x14ac:dyDescent="0.25">
      <c r="F61" s="5"/>
      <c r="G61" s="5"/>
      <c r="H61" s="5"/>
      <c r="I61" s="57"/>
      <c r="J61" s="5"/>
    </row>
    <row r="62" spans="4:18" x14ac:dyDescent="0.25">
      <c r="F62" s="5"/>
      <c r="G62" s="5"/>
      <c r="H62" s="5"/>
      <c r="I62" s="57"/>
      <c r="J62" s="5"/>
    </row>
    <row r="63" spans="4:18" x14ac:dyDescent="0.25">
      <c r="F63" s="5"/>
      <c r="G63" s="5"/>
      <c r="H63" s="5"/>
      <c r="I63" s="57"/>
      <c r="J63" s="5"/>
    </row>
    <row r="64" spans="4:18" x14ac:dyDescent="0.25">
      <c r="F64" s="5"/>
      <c r="G64" s="5"/>
      <c r="H64" s="5"/>
      <c r="I64" s="57"/>
      <c r="J64" s="5"/>
    </row>
    <row r="65" spans="6:10" x14ac:dyDescent="0.25">
      <c r="F65" s="5"/>
      <c r="G65" s="5"/>
      <c r="H65" s="5"/>
      <c r="I65" s="57"/>
      <c r="J65" s="5"/>
    </row>
    <row r="66" spans="6:10" x14ac:dyDescent="0.25">
      <c r="F66" s="5"/>
      <c r="G66" s="5"/>
      <c r="H66" s="5"/>
      <c r="I66" s="57"/>
      <c r="J66" s="5"/>
    </row>
    <row r="67" spans="6:10" x14ac:dyDescent="0.25">
      <c r="F67" s="5"/>
      <c r="G67" s="5"/>
      <c r="H67" s="5"/>
      <c r="I67" s="57"/>
      <c r="J67" s="5"/>
    </row>
    <row r="68" spans="6:10" x14ac:dyDescent="0.25">
      <c r="F68" s="5"/>
      <c r="G68" s="5"/>
      <c r="H68" s="5"/>
      <c r="I68" s="57"/>
      <c r="J68" s="5"/>
    </row>
    <row r="69" spans="6:10" x14ac:dyDescent="0.25">
      <c r="F69" s="5"/>
      <c r="G69" s="5"/>
      <c r="H69" s="5"/>
      <c r="I69" s="57"/>
      <c r="J69" s="5"/>
    </row>
    <row r="70" spans="6:10" x14ac:dyDescent="0.25">
      <c r="F70" s="5"/>
      <c r="G70" s="5"/>
      <c r="H70" s="5"/>
      <c r="I70" s="57"/>
      <c r="J70" s="5"/>
    </row>
    <row r="71" spans="6:10" x14ac:dyDescent="0.25">
      <c r="F71" s="5"/>
      <c r="G71" s="5"/>
      <c r="H71" s="5"/>
      <c r="I71" s="57"/>
      <c r="J71" s="5"/>
    </row>
    <row r="72" spans="6:10" x14ac:dyDescent="0.25">
      <c r="F72" s="5"/>
      <c r="G72" s="5"/>
      <c r="H72" s="5"/>
      <c r="I72" s="57"/>
      <c r="J72" s="5"/>
    </row>
    <row r="73" spans="6:10" x14ac:dyDescent="0.25">
      <c r="F73" s="5"/>
      <c r="G73" s="5"/>
      <c r="H73" s="5"/>
      <c r="I73" s="57"/>
      <c r="J73" s="5"/>
    </row>
    <row r="74" spans="6:10" x14ac:dyDescent="0.25">
      <c r="F74" s="5"/>
      <c r="G74" s="5"/>
      <c r="H74" s="5"/>
      <c r="I74" s="57"/>
      <c r="J74" s="5"/>
    </row>
    <row r="75" spans="6:10" x14ac:dyDescent="0.25">
      <c r="F75" s="5"/>
      <c r="G75" s="5"/>
      <c r="H75" s="5"/>
      <c r="I75" s="57"/>
      <c r="J75" s="5"/>
    </row>
    <row r="76" spans="6:10" x14ac:dyDescent="0.25">
      <c r="F76" s="5"/>
      <c r="G76" s="5"/>
      <c r="H76" s="5"/>
      <c r="I76" s="57"/>
      <c r="J76" s="5"/>
    </row>
    <row r="77" spans="6:10" x14ac:dyDescent="0.25">
      <c r="F77" s="5"/>
      <c r="G77" s="5"/>
      <c r="H77" s="5"/>
      <c r="I77" s="57"/>
      <c r="J77" s="5"/>
    </row>
    <row r="78" spans="6:10" x14ac:dyDescent="0.25">
      <c r="F78" s="5"/>
      <c r="G78" s="5"/>
      <c r="H78" s="5"/>
      <c r="I78" s="57"/>
      <c r="J78" s="5"/>
    </row>
    <row r="79" spans="6:10" x14ac:dyDescent="0.25">
      <c r="F79" s="5"/>
      <c r="G79" s="5"/>
      <c r="H79" s="5"/>
      <c r="I79" s="57"/>
      <c r="J79" s="5"/>
    </row>
    <row r="80" spans="6:10" x14ac:dyDescent="0.25">
      <c r="F80" s="5"/>
      <c r="G80" s="5"/>
      <c r="H80" s="5"/>
      <c r="I80" s="57"/>
      <c r="J80" s="5"/>
    </row>
    <row r="81" spans="6:10" x14ac:dyDescent="0.25">
      <c r="F81" s="5"/>
      <c r="G81" s="5"/>
      <c r="H81" s="5"/>
      <c r="I81" s="57"/>
      <c r="J81" s="5"/>
    </row>
    <row r="82" spans="6:10" x14ac:dyDescent="0.25">
      <c r="F82" s="5"/>
      <c r="G82" s="5"/>
      <c r="H82" s="5"/>
      <c r="I82" s="57"/>
      <c r="J82" s="5"/>
    </row>
    <row r="83" spans="6:10" x14ac:dyDescent="0.25">
      <c r="F83" s="5"/>
      <c r="G83" s="5"/>
      <c r="H83" s="5"/>
      <c r="I83" s="57"/>
      <c r="J83" s="5"/>
    </row>
    <row r="84" spans="6:10" x14ac:dyDescent="0.25">
      <c r="F84" s="5"/>
      <c r="G84" s="5"/>
      <c r="H84" s="5"/>
      <c r="I84" s="57"/>
      <c r="J84" s="5"/>
    </row>
    <row r="85" spans="6:10" x14ac:dyDescent="0.25">
      <c r="F85" s="5"/>
      <c r="G85" s="5"/>
      <c r="H85" s="5"/>
      <c r="I85" s="57"/>
      <c r="J85" s="5"/>
    </row>
    <row r="86" spans="6:10" x14ac:dyDescent="0.25">
      <c r="F86" s="5"/>
      <c r="G86" s="5"/>
      <c r="H86" s="5"/>
      <c r="I86" s="57"/>
      <c r="J86" s="5"/>
    </row>
    <row r="87" spans="6:10" x14ac:dyDescent="0.25">
      <c r="F87" s="5"/>
      <c r="G87" s="5"/>
      <c r="H87" s="5"/>
      <c r="I87" s="57"/>
      <c r="J87" s="5"/>
    </row>
    <row r="88" spans="6:10" x14ac:dyDescent="0.25">
      <c r="F88" s="5"/>
      <c r="G88" s="5"/>
      <c r="H88" s="5"/>
      <c r="I88" s="57"/>
      <c r="J88" s="5"/>
    </row>
    <row r="89" spans="6:10" x14ac:dyDescent="0.25">
      <c r="F89" s="5"/>
      <c r="G89" s="5"/>
      <c r="H89" s="5"/>
      <c r="I89" s="57"/>
      <c r="J89" s="5"/>
    </row>
    <row r="90" spans="6:10" x14ac:dyDescent="0.25">
      <c r="F90" s="5"/>
      <c r="G90" s="5"/>
      <c r="H90" s="5"/>
      <c r="I90" s="57"/>
      <c r="J90" s="5"/>
    </row>
    <row r="91" spans="6:10" x14ac:dyDescent="0.25">
      <c r="F91" s="5"/>
      <c r="G91" s="5"/>
      <c r="H91" s="5"/>
      <c r="I91" s="57"/>
      <c r="J91" s="5"/>
    </row>
    <row r="92" spans="6:10" x14ac:dyDescent="0.25">
      <c r="F92" s="5"/>
      <c r="G92" s="5"/>
      <c r="H92" s="5"/>
      <c r="I92" s="57"/>
      <c r="J92" s="5"/>
    </row>
    <row r="93" spans="6:10" x14ac:dyDescent="0.25">
      <c r="F93" s="5"/>
      <c r="G93" s="5"/>
      <c r="H93" s="5"/>
      <c r="I93" s="57"/>
      <c r="J93" s="5"/>
    </row>
    <row r="94" spans="6:10" x14ac:dyDescent="0.25">
      <c r="F94" s="5"/>
      <c r="G94" s="5"/>
      <c r="H94" s="5"/>
      <c r="I94" s="57"/>
      <c r="J94" s="5"/>
    </row>
    <row r="95" spans="6:10" x14ac:dyDescent="0.25">
      <c r="F95" s="5"/>
      <c r="G95" s="5"/>
      <c r="H95" s="5"/>
      <c r="I95" s="57"/>
      <c r="J95" s="5"/>
    </row>
    <row r="96" spans="6:10" x14ac:dyDescent="0.25">
      <c r="F96" s="5"/>
      <c r="G96" s="5"/>
      <c r="H96" s="5"/>
      <c r="I96" s="57"/>
      <c r="J96" s="5"/>
    </row>
    <row r="97" spans="6:10" x14ac:dyDescent="0.25">
      <c r="F97" s="5"/>
      <c r="G97" s="5"/>
      <c r="H97" s="5"/>
      <c r="I97" s="57"/>
      <c r="J97" s="5"/>
    </row>
    <row r="98" spans="6:10" x14ac:dyDescent="0.25">
      <c r="F98" s="5"/>
      <c r="G98" s="5"/>
      <c r="H98" s="5"/>
      <c r="I98" s="57"/>
      <c r="J98" s="5"/>
    </row>
    <row r="99" spans="6:10" x14ac:dyDescent="0.25">
      <c r="F99" s="5"/>
      <c r="G99" s="5"/>
      <c r="H99" s="5"/>
      <c r="I99" s="57"/>
      <c r="J99" s="5"/>
    </row>
    <row r="100" spans="6:10" x14ac:dyDescent="0.25">
      <c r="F100" s="5"/>
      <c r="G100" s="5"/>
      <c r="H100" s="5"/>
      <c r="I100" s="57"/>
      <c r="J100" s="5"/>
    </row>
    <row r="101" spans="6:10" x14ac:dyDescent="0.25">
      <c r="F101" s="5"/>
      <c r="G101" s="5"/>
      <c r="H101" s="5"/>
      <c r="I101" s="57"/>
      <c r="J101" s="5"/>
    </row>
    <row r="102" spans="6:10" x14ac:dyDescent="0.25">
      <c r="F102" s="5"/>
      <c r="G102" s="5"/>
      <c r="H102" s="5"/>
      <c r="I102" s="57"/>
      <c r="J102" s="5"/>
    </row>
    <row r="103" spans="6:10" x14ac:dyDescent="0.25">
      <c r="F103" s="5"/>
      <c r="G103" s="5"/>
      <c r="H103" s="5"/>
      <c r="I103" s="57"/>
      <c r="J103" s="5"/>
    </row>
    <row r="104" spans="6:10" x14ac:dyDescent="0.25">
      <c r="F104" s="5"/>
      <c r="G104" s="5"/>
      <c r="H104" s="5"/>
      <c r="I104" s="57"/>
      <c r="J104" s="5"/>
    </row>
    <row r="105" spans="6:10" x14ac:dyDescent="0.25">
      <c r="F105" s="5"/>
      <c r="G105" s="5"/>
      <c r="H105" s="5"/>
      <c r="I105" s="57"/>
      <c r="J105" s="5"/>
    </row>
    <row r="106" spans="6:10" x14ac:dyDescent="0.25">
      <c r="F106" s="5"/>
      <c r="G106" s="5"/>
      <c r="H106" s="5"/>
      <c r="I106" s="57"/>
      <c r="J106" s="5"/>
    </row>
    <row r="107" spans="6:10" x14ac:dyDescent="0.25">
      <c r="F107" s="5"/>
      <c r="G107" s="5"/>
      <c r="H107" s="5"/>
      <c r="I107" s="57"/>
      <c r="J107" s="5"/>
    </row>
    <row r="108" spans="6:10" x14ac:dyDescent="0.25">
      <c r="F108" s="5"/>
      <c r="G108" s="5"/>
      <c r="H108" s="5"/>
      <c r="I108" s="57"/>
      <c r="J108" s="5"/>
    </row>
    <row r="109" spans="6:10" x14ac:dyDescent="0.25">
      <c r="F109" s="5"/>
      <c r="G109" s="5"/>
      <c r="H109" s="5"/>
      <c r="I109" s="57"/>
      <c r="J109" s="5"/>
    </row>
    <row r="110" spans="6:10" x14ac:dyDescent="0.25">
      <c r="F110" s="5"/>
      <c r="G110" s="5"/>
      <c r="H110" s="5"/>
      <c r="I110" s="57"/>
      <c r="J110" s="5"/>
    </row>
    <row r="111" spans="6:10" x14ac:dyDescent="0.25">
      <c r="F111" s="5"/>
      <c r="G111" s="5"/>
      <c r="H111" s="5"/>
      <c r="I111" s="57"/>
      <c r="J111" s="5"/>
    </row>
    <row r="112" spans="6:10" x14ac:dyDescent="0.25">
      <c r="F112" s="5"/>
      <c r="G112" s="5"/>
      <c r="H112" s="5"/>
      <c r="I112" s="57"/>
      <c r="J112" s="5"/>
    </row>
    <row r="113" spans="6:10" x14ac:dyDescent="0.25">
      <c r="F113" s="5"/>
      <c r="G113" s="5"/>
      <c r="H113" s="5"/>
      <c r="I113" s="57"/>
      <c r="J113" s="5"/>
    </row>
    <row r="114" spans="6:10" x14ac:dyDescent="0.25">
      <c r="F114" s="5"/>
      <c r="G114" s="5"/>
      <c r="H114" s="5"/>
      <c r="I114" s="57"/>
      <c r="J114" s="5"/>
    </row>
    <row r="115" spans="6:10" x14ac:dyDescent="0.25">
      <c r="F115" s="5"/>
      <c r="G115" s="5"/>
      <c r="H115" s="5"/>
      <c r="I115" s="57"/>
      <c r="J115" s="5"/>
    </row>
    <row r="116" spans="6:10" x14ac:dyDescent="0.25">
      <c r="F116" s="5"/>
      <c r="G116" s="5"/>
      <c r="H116" s="5"/>
      <c r="I116" s="57"/>
      <c r="J116" s="5"/>
    </row>
    <row r="117" spans="6:10" x14ac:dyDescent="0.25">
      <c r="F117" s="5"/>
      <c r="G117" s="5"/>
      <c r="H117" s="5"/>
      <c r="I117" s="57"/>
      <c r="J117" s="5"/>
    </row>
    <row r="118" spans="6:10" x14ac:dyDescent="0.25">
      <c r="F118" s="5"/>
      <c r="G118" s="5"/>
      <c r="H118" s="5"/>
      <c r="I118" s="57"/>
      <c r="J118" s="5"/>
    </row>
    <row r="119" spans="6:10" x14ac:dyDescent="0.25">
      <c r="F119" s="5"/>
      <c r="G119" s="5"/>
      <c r="H119" s="5"/>
      <c r="I119" s="57"/>
      <c r="J119" s="5"/>
    </row>
    <row r="120" spans="6:10" x14ac:dyDescent="0.25">
      <c r="F120" s="5"/>
      <c r="G120" s="5"/>
      <c r="H120" s="5"/>
      <c r="I120" s="57"/>
      <c r="J120" s="5"/>
    </row>
    <row r="121" spans="6:10" x14ac:dyDescent="0.25">
      <c r="F121" s="5"/>
      <c r="G121" s="5"/>
      <c r="H121" s="5"/>
      <c r="I121" s="57"/>
      <c r="J121" s="5"/>
    </row>
    <row r="122" spans="6:10" x14ac:dyDescent="0.25">
      <c r="F122" s="5"/>
      <c r="G122" s="5"/>
      <c r="H122" s="5"/>
      <c r="I122" s="57"/>
      <c r="J122" s="5"/>
    </row>
    <row r="123" spans="6:10" x14ac:dyDescent="0.25">
      <c r="F123" s="5"/>
      <c r="G123" s="5"/>
      <c r="H123" s="5"/>
      <c r="I123" s="57"/>
      <c r="J123" s="5"/>
    </row>
    <row r="124" spans="6:10" x14ac:dyDescent="0.25">
      <c r="F124" s="5"/>
      <c r="G124" s="5"/>
      <c r="H124" s="5"/>
      <c r="I124" s="57"/>
      <c r="J124" s="5"/>
    </row>
    <row r="125" spans="6:10" x14ac:dyDescent="0.25">
      <c r="F125" s="5"/>
      <c r="G125" s="5"/>
      <c r="H125" s="5"/>
      <c r="I125" s="57"/>
      <c r="J125" s="5"/>
    </row>
    <row r="126" spans="6:10" x14ac:dyDescent="0.25">
      <c r="F126" s="5"/>
      <c r="G126" s="5"/>
      <c r="H126" s="5"/>
      <c r="I126" s="57"/>
      <c r="J126" s="5"/>
    </row>
    <row r="127" spans="6:10" x14ac:dyDescent="0.25">
      <c r="F127" s="5"/>
      <c r="G127" s="5"/>
      <c r="H127" s="5"/>
      <c r="I127" s="57"/>
      <c r="J127" s="5"/>
    </row>
    <row r="128" spans="6:10" x14ac:dyDescent="0.25">
      <c r="F128" s="5"/>
      <c r="G128" s="5"/>
      <c r="H128" s="5"/>
      <c r="I128" s="57"/>
      <c r="J128" s="5"/>
    </row>
    <row r="129" spans="6:10" x14ac:dyDescent="0.25">
      <c r="F129" s="5"/>
      <c r="G129" s="5"/>
      <c r="H129" s="5"/>
      <c r="I129" s="57"/>
      <c r="J129" s="5"/>
    </row>
    <row r="130" spans="6:10" x14ac:dyDescent="0.25">
      <c r="F130" s="5"/>
      <c r="G130" s="5"/>
      <c r="H130" s="5"/>
      <c r="I130" s="57"/>
      <c r="J130" s="5"/>
    </row>
    <row r="131" spans="6:10" x14ac:dyDescent="0.25">
      <c r="F131" s="5"/>
      <c r="G131" s="5"/>
      <c r="H131" s="5"/>
      <c r="I131" s="57"/>
      <c r="J131" s="5"/>
    </row>
  </sheetData>
  <mergeCells count="8">
    <mergeCell ref="E5:G5"/>
    <mergeCell ref="D1:O1"/>
    <mergeCell ref="D2:F2"/>
    <mergeCell ref="D3:F3"/>
    <mergeCell ref="D4:F4"/>
    <mergeCell ref="M2:M3"/>
    <mergeCell ref="N2:N3"/>
    <mergeCell ref="O2:O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4"/>
  <sheetViews>
    <sheetView zoomScale="70" zoomScaleNormal="70" workbookViewId="0">
      <selection activeCell="G7" sqref="G7"/>
    </sheetView>
  </sheetViews>
  <sheetFormatPr defaultRowHeight="15" x14ac:dyDescent="0.25"/>
  <cols>
    <col min="1" max="1" width="8.140625" style="4" customWidth="1"/>
    <col min="2" max="2" width="9.140625" style="4"/>
    <col min="3" max="3" width="10.42578125" style="4" customWidth="1"/>
    <col min="4" max="4" width="11.5703125" style="4" customWidth="1"/>
    <col min="5" max="5" width="12.7109375" style="4" customWidth="1"/>
    <col min="6" max="6" width="8.140625" style="4" customWidth="1"/>
    <col min="7" max="7" width="11.5703125" style="4" customWidth="1"/>
    <col min="8" max="8" width="9.85546875" style="4" customWidth="1"/>
    <col min="9" max="9" width="8.5703125" style="4" customWidth="1"/>
    <col min="10" max="10" width="8.7109375" style="4" customWidth="1"/>
    <col min="11" max="11" width="8.5703125" style="4" customWidth="1"/>
    <col min="12" max="12" width="11" style="4" customWidth="1"/>
    <col min="13" max="13" width="9.28515625" style="4" customWidth="1"/>
    <col min="14" max="14" width="8.7109375" style="4" customWidth="1"/>
    <col min="15" max="15" width="10.7109375" style="4" customWidth="1"/>
    <col min="16" max="16" width="9.42578125" style="4" customWidth="1"/>
    <col min="17" max="17" width="6.5703125" style="4" customWidth="1"/>
    <col min="18" max="16384" width="9.140625" style="4"/>
  </cols>
  <sheetData>
    <row r="1" spans="1:16" x14ac:dyDescent="0.25">
      <c r="A1" s="143" t="s">
        <v>172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5"/>
    </row>
    <row r="2" spans="1:16" x14ac:dyDescent="0.25">
      <c r="A2" s="158" t="s">
        <v>165</v>
      </c>
      <c r="B2" s="159"/>
      <c r="C2" s="73">
        <v>4.0000000000000002E-4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83"/>
    </row>
    <row r="3" spans="1:16" ht="15.75" customHeight="1" x14ac:dyDescent="0.25">
      <c r="A3" s="160" t="s">
        <v>168</v>
      </c>
      <c r="B3" s="161"/>
      <c r="C3" s="73" t="s">
        <v>169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83"/>
    </row>
    <row r="4" spans="1:16" ht="15" customHeight="1" x14ac:dyDescent="0.25">
      <c r="A4" s="162" t="s">
        <v>170</v>
      </c>
      <c r="B4" s="163"/>
      <c r="C4" s="73">
        <v>0.5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83"/>
    </row>
    <row r="5" spans="1:16" s="91" customFormat="1" ht="36" customHeight="1" x14ac:dyDescent="0.25">
      <c r="A5" s="157" t="s">
        <v>161</v>
      </c>
      <c r="B5" s="74" t="s">
        <v>43</v>
      </c>
      <c r="C5" s="74" t="s">
        <v>44</v>
      </c>
      <c r="D5" s="74" t="s">
        <v>45</v>
      </c>
      <c r="E5" s="74" t="s">
        <v>73</v>
      </c>
      <c r="F5" s="74" t="s">
        <v>164</v>
      </c>
      <c r="G5" s="74" t="s">
        <v>74</v>
      </c>
      <c r="H5" s="74" t="s">
        <v>166</v>
      </c>
      <c r="I5" s="74" t="s">
        <v>51</v>
      </c>
      <c r="J5" s="74" t="s">
        <v>75</v>
      </c>
      <c r="K5" s="74" t="s">
        <v>76</v>
      </c>
      <c r="L5" s="74" t="s">
        <v>77</v>
      </c>
      <c r="M5" s="156" t="s">
        <v>78</v>
      </c>
      <c r="N5" s="156"/>
      <c r="O5" s="74" t="s">
        <v>171</v>
      </c>
      <c r="P5" s="86" t="s">
        <v>79</v>
      </c>
    </row>
    <row r="6" spans="1:16" s="71" customFormat="1" ht="18.75" x14ac:dyDescent="0.25">
      <c r="A6" s="157"/>
      <c r="B6" s="67" t="s">
        <v>9</v>
      </c>
      <c r="C6" s="67" t="s">
        <v>9</v>
      </c>
      <c r="D6" s="67" t="s">
        <v>49</v>
      </c>
      <c r="E6" s="67" t="s">
        <v>80</v>
      </c>
      <c r="F6" s="67"/>
      <c r="G6" s="67" t="s">
        <v>80</v>
      </c>
      <c r="H6" s="67" t="s">
        <v>167</v>
      </c>
      <c r="I6" s="67" t="s">
        <v>173</v>
      </c>
      <c r="J6" s="67" t="s">
        <v>9</v>
      </c>
      <c r="K6" s="67" t="s">
        <v>9</v>
      </c>
      <c r="L6" s="67" t="s">
        <v>9</v>
      </c>
      <c r="M6" s="67" t="s">
        <v>80</v>
      </c>
      <c r="N6" s="67" t="s">
        <v>80</v>
      </c>
      <c r="O6" s="75" t="s">
        <v>80</v>
      </c>
      <c r="P6" s="69" t="s">
        <v>80</v>
      </c>
    </row>
    <row r="7" spans="1:16" ht="16.5" x14ac:dyDescent="0.25">
      <c r="A7" s="72">
        <v>1</v>
      </c>
      <c r="B7" s="73" t="str">
        <f>'Capacity Statememnt'!F7</f>
        <v>499+01</v>
      </c>
      <c r="C7" s="73" t="s">
        <v>71</v>
      </c>
      <c r="D7" s="76">
        <f>'Capacity Statememnt'!O7</f>
        <v>175.93047974031597</v>
      </c>
      <c r="E7" s="76">
        <f>2.67*SQRT(D7)</f>
        <v>35.414556287220911</v>
      </c>
      <c r="F7" s="76">
        <f t="shared" ref="F7:F52" si="0">(($C$2*D7^(1/6))/0.0005423)^(3/5)</f>
        <v>1.3970962946654437</v>
      </c>
      <c r="G7" s="76">
        <f>((0.072125*F7^0.5)/($C$2^(1/3)))^6</f>
        <v>2.3992416765416094</v>
      </c>
      <c r="H7" s="76">
        <f>1.154*SQRT(F7*G7)</f>
        <v>2.1127882729335323</v>
      </c>
      <c r="I7" s="76">
        <f>G7*E7</f>
        <v>84.968079400529092</v>
      </c>
      <c r="J7" s="76">
        <f t="shared" ref="J7:J52" si="1">$C$4-2*(1+$C$4^2)^0.5</f>
        <v>-1.7360679774997898</v>
      </c>
      <c r="K7" s="76">
        <f>E7</f>
        <v>35.414556287220911</v>
      </c>
      <c r="L7" s="76">
        <f>-I7</f>
        <v>-84.968079400529092</v>
      </c>
      <c r="M7" s="76">
        <f>(-K7+(K7^2-4*J7*L7)^0.5)/(2*J7)</f>
        <v>2.7773857849462948</v>
      </c>
      <c r="N7" s="76">
        <f>(-K7-(K7^2-4*J7*L7)^0.5)/(2*J7)</f>
        <v>17.62190545607033</v>
      </c>
      <c r="O7" s="76">
        <f>M7</f>
        <v>2.7773857849462948</v>
      </c>
      <c r="P7" s="89">
        <f t="shared" ref="P7:P52" si="2">(I7-$C$4*M7^2)/M7</f>
        <v>29.20413287233939</v>
      </c>
    </row>
    <row r="8" spans="1:16" ht="16.5" x14ac:dyDescent="0.25">
      <c r="A8" s="72">
        <v>2</v>
      </c>
      <c r="B8" s="73" t="str">
        <f>'Capacity Statememnt'!F8</f>
        <v>499+01</v>
      </c>
      <c r="C8" s="73" t="s">
        <v>72</v>
      </c>
      <c r="D8" s="76">
        <f>'Capacity Statememnt'!O8</f>
        <v>175.93047974031597</v>
      </c>
      <c r="E8" s="76">
        <f t="shared" ref="E8:E52" si="3">2.67*SQRT(D8)</f>
        <v>35.414556287220911</v>
      </c>
      <c r="F8" s="76">
        <f t="shared" si="0"/>
        <v>1.3970962946654437</v>
      </c>
      <c r="G8" s="76">
        <f t="shared" ref="G7:G52" si="4">((0.072125*F8^0.5)/($C$2^(1/3)))^6</f>
        <v>2.3992416765416094</v>
      </c>
      <c r="H8" s="76">
        <f t="shared" ref="H8:H52" si="5">1.154*SQRT(F8*G8)</f>
        <v>2.1127882729335323</v>
      </c>
      <c r="I8" s="76">
        <f t="shared" ref="I8:I52" si="6">G8*E8</f>
        <v>84.968079400529092</v>
      </c>
      <c r="J8" s="76">
        <f t="shared" si="1"/>
        <v>-1.7360679774997898</v>
      </c>
      <c r="K8" s="76">
        <f t="shared" ref="K8:K52" si="7">E8</f>
        <v>35.414556287220911</v>
      </c>
      <c r="L8" s="76">
        <f t="shared" ref="L8:L52" si="8">-I8</f>
        <v>-84.968079400529092</v>
      </c>
      <c r="M8" s="76">
        <f t="shared" ref="M8:M52" si="9">(-K8+(K8^2-4*J8*L8)^0.5)/(2*J8)</f>
        <v>2.7773857849462948</v>
      </c>
      <c r="N8" s="76">
        <f t="shared" ref="N8:N52" si="10">(-K8-(K8^2-4*J8*L8)^0.5)/(2*J8)</f>
        <v>17.62190545607033</v>
      </c>
      <c r="O8" s="76">
        <f t="shared" ref="O8:O52" si="11">M8</f>
        <v>2.7773857849462948</v>
      </c>
      <c r="P8" s="89">
        <f t="shared" si="2"/>
        <v>29.20413287233939</v>
      </c>
    </row>
    <row r="9" spans="1:16" ht="16.5" x14ac:dyDescent="0.25">
      <c r="A9" s="72">
        <v>3</v>
      </c>
      <c r="B9" s="73" t="str">
        <f>'Capacity Statememnt'!F9</f>
        <v>543+37</v>
      </c>
      <c r="C9" s="73" t="s">
        <v>54</v>
      </c>
      <c r="D9" s="76">
        <f>'Capacity Statememnt'!O9</f>
        <v>167.1749191950752</v>
      </c>
      <c r="E9" s="76">
        <f t="shared" si="3"/>
        <v>34.522069483879029</v>
      </c>
      <c r="F9" s="76">
        <f t="shared" si="0"/>
        <v>1.3899825379183786</v>
      </c>
      <c r="G9" s="76">
        <f t="shared" si="4"/>
        <v>2.3627784834571179</v>
      </c>
      <c r="H9" s="76">
        <f t="shared" si="5"/>
        <v>2.0913271936274547</v>
      </c>
      <c r="I9" s="76">
        <f t="shared" si="6"/>
        <v>81.568002980920937</v>
      </c>
      <c r="J9" s="76">
        <f t="shared" si="1"/>
        <v>-1.7360679774997898</v>
      </c>
      <c r="K9" s="76">
        <f t="shared" si="7"/>
        <v>34.522069483879029</v>
      </c>
      <c r="L9" s="76">
        <f t="shared" si="8"/>
        <v>-81.568002980920937</v>
      </c>
      <c r="M9" s="76">
        <f t="shared" si="9"/>
        <v>2.7404493244607853</v>
      </c>
      <c r="N9" s="76">
        <f t="shared" si="10"/>
        <v>17.144756745405342</v>
      </c>
      <c r="O9" s="76">
        <f t="shared" si="11"/>
        <v>2.7404493244607853</v>
      </c>
      <c r="P9" s="89">
        <f t="shared" si="2"/>
        <v>28.394238505491337</v>
      </c>
    </row>
    <row r="10" spans="1:16" ht="16.5" x14ac:dyDescent="0.25">
      <c r="A10" s="72">
        <v>4</v>
      </c>
      <c r="B10" s="73" t="str">
        <f>'Capacity Statememnt'!F10</f>
        <v>543+37</v>
      </c>
      <c r="C10" s="73" t="s">
        <v>53</v>
      </c>
      <c r="D10" s="76">
        <f>'Capacity Statememnt'!O10</f>
        <v>167.1749191950752</v>
      </c>
      <c r="E10" s="76">
        <f t="shared" si="3"/>
        <v>34.522069483879029</v>
      </c>
      <c r="F10" s="76">
        <f t="shared" si="0"/>
        <v>1.3899825379183786</v>
      </c>
      <c r="G10" s="76">
        <f t="shared" si="4"/>
        <v>2.3627784834571179</v>
      </c>
      <c r="H10" s="76">
        <f t="shared" si="5"/>
        <v>2.0913271936274547</v>
      </c>
      <c r="I10" s="76">
        <f t="shared" si="6"/>
        <v>81.568002980920937</v>
      </c>
      <c r="J10" s="76">
        <f t="shared" si="1"/>
        <v>-1.7360679774997898</v>
      </c>
      <c r="K10" s="76">
        <f t="shared" si="7"/>
        <v>34.522069483879029</v>
      </c>
      <c r="L10" s="76">
        <f t="shared" si="8"/>
        <v>-81.568002980920937</v>
      </c>
      <c r="M10" s="76">
        <f t="shared" si="9"/>
        <v>2.7404493244607853</v>
      </c>
      <c r="N10" s="76">
        <f t="shared" si="10"/>
        <v>17.144756745405342</v>
      </c>
      <c r="O10" s="76">
        <f t="shared" si="11"/>
        <v>2.7404493244607853</v>
      </c>
      <c r="P10" s="89">
        <f t="shared" si="2"/>
        <v>28.394238505491337</v>
      </c>
    </row>
    <row r="11" spans="1:16" ht="16.5" x14ac:dyDescent="0.25">
      <c r="A11" s="72">
        <v>5</v>
      </c>
      <c r="B11" s="73" t="str">
        <f>'Capacity Statememnt'!F11</f>
        <v>587+72</v>
      </c>
      <c r="C11" s="73" t="s">
        <v>55</v>
      </c>
      <c r="D11" s="76">
        <f>'Capacity Statememnt'!O11</f>
        <v>158.48893207955336</v>
      </c>
      <c r="E11" s="76">
        <f t="shared" si="3"/>
        <v>33.613267438645828</v>
      </c>
      <c r="F11" s="76">
        <f t="shared" si="0"/>
        <v>1.3825859080600746</v>
      </c>
      <c r="G11" s="76">
        <f t="shared" si="4"/>
        <v>2.325259098807245</v>
      </c>
      <c r="H11" s="76">
        <f t="shared" si="5"/>
        <v>2.069128906803773</v>
      </c>
      <c r="I11" s="76">
        <f t="shared" si="6"/>
        <v>78.159555952352505</v>
      </c>
      <c r="J11" s="76">
        <f t="shared" si="1"/>
        <v>-1.7360679774997898</v>
      </c>
      <c r="K11" s="76">
        <f t="shared" si="7"/>
        <v>33.613267438645828</v>
      </c>
      <c r="L11" s="76">
        <f t="shared" si="8"/>
        <v>-78.159555952352505</v>
      </c>
      <c r="M11" s="76">
        <f t="shared" si="9"/>
        <v>2.7024621964169988</v>
      </c>
      <c r="N11" s="76">
        <f t="shared" si="10"/>
        <v>16.65926088948094</v>
      </c>
      <c r="O11" s="76">
        <f t="shared" si="11"/>
        <v>2.7024621964169988</v>
      </c>
      <c r="P11" s="89">
        <f t="shared" si="2"/>
        <v>27.57037826083403</v>
      </c>
    </row>
    <row r="12" spans="1:16" ht="16.5" x14ac:dyDescent="0.25">
      <c r="A12" s="72">
        <v>6</v>
      </c>
      <c r="B12" s="73" t="str">
        <f>'Capacity Statememnt'!F12</f>
        <v>587+72</v>
      </c>
      <c r="C12" s="73" t="s">
        <v>56</v>
      </c>
      <c r="D12" s="76">
        <f>'Capacity Statememnt'!O12</f>
        <v>158.48893207955336</v>
      </c>
      <c r="E12" s="76">
        <f t="shared" si="3"/>
        <v>33.613267438645828</v>
      </c>
      <c r="F12" s="76">
        <f t="shared" si="0"/>
        <v>1.3825859080600746</v>
      </c>
      <c r="G12" s="76">
        <f t="shared" si="4"/>
        <v>2.325259098807245</v>
      </c>
      <c r="H12" s="76">
        <f t="shared" si="5"/>
        <v>2.069128906803773</v>
      </c>
      <c r="I12" s="76">
        <f t="shared" si="6"/>
        <v>78.159555952352505</v>
      </c>
      <c r="J12" s="76">
        <f t="shared" si="1"/>
        <v>-1.7360679774997898</v>
      </c>
      <c r="K12" s="76">
        <f t="shared" si="7"/>
        <v>33.613267438645828</v>
      </c>
      <c r="L12" s="76">
        <f t="shared" si="8"/>
        <v>-78.159555952352505</v>
      </c>
      <c r="M12" s="76">
        <f t="shared" si="9"/>
        <v>2.7024621964169988</v>
      </c>
      <c r="N12" s="76">
        <f t="shared" si="10"/>
        <v>16.65926088948094</v>
      </c>
      <c r="O12" s="76">
        <f t="shared" si="11"/>
        <v>2.7024621964169988</v>
      </c>
      <c r="P12" s="89">
        <f t="shared" si="2"/>
        <v>27.57037826083403</v>
      </c>
    </row>
    <row r="13" spans="1:16" ht="16.5" x14ac:dyDescent="0.25">
      <c r="A13" s="72">
        <v>7</v>
      </c>
      <c r="B13" s="73" t="str">
        <f>'Capacity Statememnt'!F13</f>
        <v>632+08</v>
      </c>
      <c r="C13" s="73" t="s">
        <v>57</v>
      </c>
      <c r="D13" s="76">
        <f>'Capacity Statememnt'!O13</f>
        <v>149.87394927020765</v>
      </c>
      <c r="E13" s="76">
        <f t="shared" si="3"/>
        <v>32.686945359766845</v>
      </c>
      <c r="F13" s="76">
        <f t="shared" si="0"/>
        <v>1.3748801672340352</v>
      </c>
      <c r="G13" s="76">
        <f t="shared" si="4"/>
        <v>2.2865964039082129</v>
      </c>
      <c r="H13" s="76">
        <f t="shared" si="5"/>
        <v>2.046128904899208</v>
      </c>
      <c r="I13" s="76">
        <f t="shared" si="6"/>
        <v>74.74185171438711</v>
      </c>
      <c r="J13" s="76">
        <f t="shared" si="1"/>
        <v>-1.7360679774997898</v>
      </c>
      <c r="K13" s="76">
        <f t="shared" si="7"/>
        <v>32.686945359766845</v>
      </c>
      <c r="L13" s="76">
        <f t="shared" si="8"/>
        <v>-74.74185171438711</v>
      </c>
      <c r="M13" s="76">
        <f t="shared" si="9"/>
        <v>2.6633396780243266</v>
      </c>
      <c r="N13" s="76">
        <f t="shared" si="10"/>
        <v>16.164808633795339</v>
      </c>
      <c r="O13" s="76">
        <f t="shared" si="11"/>
        <v>2.6633396780243266</v>
      </c>
      <c r="P13" s="89">
        <f t="shared" si="2"/>
        <v>26.731536792532047</v>
      </c>
    </row>
    <row r="14" spans="1:16" ht="16.5" x14ac:dyDescent="0.25">
      <c r="A14" s="72">
        <v>8</v>
      </c>
      <c r="B14" s="73" t="str">
        <f>'Capacity Statememnt'!F14</f>
        <v>632+08</v>
      </c>
      <c r="C14" s="73" t="s">
        <v>58</v>
      </c>
      <c r="D14" s="76">
        <f>'Capacity Statememnt'!O14</f>
        <v>149.87394927020765</v>
      </c>
      <c r="E14" s="76">
        <f t="shared" si="3"/>
        <v>32.686945359766845</v>
      </c>
      <c r="F14" s="76">
        <f t="shared" si="0"/>
        <v>1.3748801672340352</v>
      </c>
      <c r="G14" s="76">
        <f t="shared" si="4"/>
        <v>2.2865964039082129</v>
      </c>
      <c r="H14" s="76">
        <f t="shared" si="5"/>
        <v>2.046128904899208</v>
      </c>
      <c r="I14" s="76">
        <f t="shared" si="6"/>
        <v>74.74185171438711</v>
      </c>
      <c r="J14" s="76">
        <f t="shared" si="1"/>
        <v>-1.7360679774997898</v>
      </c>
      <c r="K14" s="76">
        <f t="shared" si="7"/>
        <v>32.686945359766845</v>
      </c>
      <c r="L14" s="76">
        <f t="shared" si="8"/>
        <v>-74.74185171438711</v>
      </c>
      <c r="M14" s="76">
        <f t="shared" si="9"/>
        <v>2.6633396780243266</v>
      </c>
      <c r="N14" s="76">
        <f t="shared" si="10"/>
        <v>16.164808633795339</v>
      </c>
      <c r="O14" s="76">
        <f t="shared" si="11"/>
        <v>2.6633396780243266</v>
      </c>
      <c r="P14" s="89">
        <f t="shared" si="2"/>
        <v>26.731536792532047</v>
      </c>
    </row>
    <row r="15" spans="1:16" ht="16.5" x14ac:dyDescent="0.25">
      <c r="A15" s="72">
        <v>9</v>
      </c>
      <c r="B15" s="73" t="str">
        <f>'Capacity Statememnt'!F15</f>
        <v>676+44</v>
      </c>
      <c r="C15" s="73" t="s">
        <v>59</v>
      </c>
      <c r="D15" s="76">
        <f>'Capacity Statememnt'!O15</f>
        <v>141.33150313728581</v>
      </c>
      <c r="E15" s="76">
        <f t="shared" si="3"/>
        <v>31.741741488383976</v>
      </c>
      <c r="F15" s="76">
        <f t="shared" si="0"/>
        <v>1.36683512228469</v>
      </c>
      <c r="G15" s="76">
        <f t="shared" si="4"/>
        <v>2.2466910959224684</v>
      </c>
      <c r="H15" s="76">
        <f t="shared" si="5"/>
        <v>2.0222533142151531</v>
      </c>
      <c r="I15" s="76">
        <f t="shared" si="6"/>
        <v>71.313887971025082</v>
      </c>
      <c r="J15" s="76">
        <f t="shared" si="1"/>
        <v>-1.7360679774997898</v>
      </c>
      <c r="K15" s="76">
        <f t="shared" si="7"/>
        <v>31.741741488383976</v>
      </c>
      <c r="L15" s="76">
        <f t="shared" si="8"/>
        <v>-71.313887971025082</v>
      </c>
      <c r="M15" s="76">
        <f t="shared" si="9"/>
        <v>2.6229854948350835</v>
      </c>
      <c r="N15" s="76">
        <f t="shared" si="10"/>
        <v>15.660711860205737</v>
      </c>
      <c r="O15" s="76">
        <f t="shared" si="11"/>
        <v>2.6229854948350835</v>
      </c>
      <c r="P15" s="89">
        <f t="shared" si="2"/>
        <v>25.8765676179368</v>
      </c>
    </row>
    <row r="16" spans="1:16" ht="16.5" x14ac:dyDescent="0.25">
      <c r="A16" s="72">
        <v>10</v>
      </c>
      <c r="B16" s="73" t="str">
        <f>'Capacity Statememnt'!F16</f>
        <v>676+44</v>
      </c>
      <c r="C16" s="73" t="s">
        <v>60</v>
      </c>
      <c r="D16" s="76">
        <f>'Capacity Statememnt'!O16</f>
        <v>141.33150313728581</v>
      </c>
      <c r="E16" s="76">
        <f t="shared" si="3"/>
        <v>31.741741488383976</v>
      </c>
      <c r="F16" s="76">
        <f t="shared" si="0"/>
        <v>1.36683512228469</v>
      </c>
      <c r="G16" s="76">
        <f t="shared" si="4"/>
        <v>2.2466910959224684</v>
      </c>
      <c r="H16" s="76">
        <f t="shared" si="5"/>
        <v>2.0222533142151531</v>
      </c>
      <c r="I16" s="76">
        <f t="shared" si="6"/>
        <v>71.313887971025082</v>
      </c>
      <c r="J16" s="76">
        <f t="shared" si="1"/>
        <v>-1.7360679774997898</v>
      </c>
      <c r="K16" s="76">
        <f t="shared" si="7"/>
        <v>31.741741488383976</v>
      </c>
      <c r="L16" s="76">
        <f t="shared" si="8"/>
        <v>-71.313887971025082</v>
      </c>
      <c r="M16" s="76">
        <f t="shared" si="9"/>
        <v>2.6229854948350835</v>
      </c>
      <c r="N16" s="76">
        <f t="shared" si="10"/>
        <v>15.660711860205737</v>
      </c>
      <c r="O16" s="76">
        <f t="shared" si="11"/>
        <v>2.6229854948350835</v>
      </c>
      <c r="P16" s="89">
        <f t="shared" si="2"/>
        <v>25.8765676179368</v>
      </c>
    </row>
    <row r="17" spans="1:16" ht="16.5" x14ac:dyDescent="0.25">
      <c r="A17" s="72">
        <v>11</v>
      </c>
      <c r="B17" s="73" t="str">
        <f>'Capacity Statememnt'!F17</f>
        <v>720+80</v>
      </c>
      <c r="C17" s="73" t="s">
        <v>61</v>
      </c>
      <c r="D17" s="76">
        <f>'Capacity Statememnt'!O17</f>
        <v>132.86324039006686</v>
      </c>
      <c r="E17" s="76">
        <f t="shared" si="3"/>
        <v>30.776106875573909</v>
      </c>
      <c r="F17" s="76">
        <f t="shared" si="0"/>
        <v>1.3584157745474903</v>
      </c>
      <c r="G17" s="76">
        <f t="shared" si="4"/>
        <v>2.2054292123727754</v>
      </c>
      <c r="H17" s="76">
        <f t="shared" si="5"/>
        <v>1.9974169377370465</v>
      </c>
      <c r="I17" s="76">
        <f t="shared" si="6"/>
        <v>67.874525146497319</v>
      </c>
      <c r="J17" s="76">
        <f t="shared" si="1"/>
        <v>-1.7360679774997898</v>
      </c>
      <c r="K17" s="76">
        <f t="shared" si="7"/>
        <v>30.776106875573909</v>
      </c>
      <c r="L17" s="76">
        <f t="shared" si="8"/>
        <v>-67.874525146497319</v>
      </c>
      <c r="M17" s="76">
        <f t="shared" si="9"/>
        <v>2.5812895400536866</v>
      </c>
      <c r="N17" s="76">
        <f t="shared" si="10"/>
        <v>15.146188458760811</v>
      </c>
      <c r="O17" s="76">
        <f t="shared" si="11"/>
        <v>2.5812895400536866</v>
      </c>
      <c r="P17" s="89">
        <f t="shared" si="2"/>
        <v>25.004167994404703</v>
      </c>
    </row>
    <row r="18" spans="1:16" ht="16.5" x14ac:dyDescent="0.25">
      <c r="A18" s="72">
        <v>12</v>
      </c>
      <c r="B18" s="73" t="str">
        <f>'Capacity Statememnt'!F18</f>
        <v>720+80</v>
      </c>
      <c r="C18" s="73" t="s">
        <v>62</v>
      </c>
      <c r="D18" s="76">
        <f>'Capacity Statememnt'!O18</f>
        <v>132.86324039006686</v>
      </c>
      <c r="E18" s="76">
        <f t="shared" si="3"/>
        <v>30.776106875573909</v>
      </c>
      <c r="F18" s="76">
        <f t="shared" si="0"/>
        <v>1.3584157745474903</v>
      </c>
      <c r="G18" s="76">
        <f t="shared" si="4"/>
        <v>2.2054292123727754</v>
      </c>
      <c r="H18" s="76">
        <f t="shared" si="5"/>
        <v>1.9974169377370465</v>
      </c>
      <c r="I18" s="76">
        <f t="shared" si="6"/>
        <v>67.874525146497319</v>
      </c>
      <c r="J18" s="76">
        <f t="shared" si="1"/>
        <v>-1.7360679774997898</v>
      </c>
      <c r="K18" s="76">
        <f t="shared" si="7"/>
        <v>30.776106875573909</v>
      </c>
      <c r="L18" s="76">
        <f t="shared" si="8"/>
        <v>-67.874525146497319</v>
      </c>
      <c r="M18" s="76">
        <f t="shared" si="9"/>
        <v>2.5812895400536866</v>
      </c>
      <c r="N18" s="76">
        <f t="shared" si="10"/>
        <v>15.146188458760811</v>
      </c>
      <c r="O18" s="76">
        <f t="shared" si="11"/>
        <v>2.5812895400536866</v>
      </c>
      <c r="P18" s="89">
        <f t="shared" si="2"/>
        <v>25.004167994404703</v>
      </c>
    </row>
    <row r="19" spans="1:16" ht="16.5" x14ac:dyDescent="0.25">
      <c r="A19" s="72">
        <v>13</v>
      </c>
      <c r="B19" s="73" t="str">
        <f>'Capacity Statememnt'!F19</f>
        <v>765+15</v>
      </c>
      <c r="C19" s="73" t="s">
        <v>63</v>
      </c>
      <c r="D19" s="76">
        <f>'Capacity Statememnt'!O19</f>
        <v>124.47093734128543</v>
      </c>
      <c r="E19" s="76">
        <f t="shared" si="3"/>
        <v>29.788267240849873</v>
      </c>
      <c r="F19" s="76">
        <f t="shared" si="0"/>
        <v>1.3495812259413982</v>
      </c>
      <c r="G19" s="76">
        <f t="shared" si="4"/>
        <v>2.1626789779142492</v>
      </c>
      <c r="H19" s="76">
        <f t="shared" si="5"/>
        <v>1.9715207497270739</v>
      </c>
      <c r="I19" s="76">
        <f t="shared" si="6"/>
        <v>64.42245935027772</v>
      </c>
      <c r="J19" s="76">
        <f t="shared" si="1"/>
        <v>-1.7360679774997898</v>
      </c>
      <c r="K19" s="76">
        <f t="shared" si="7"/>
        <v>29.788267240849873</v>
      </c>
      <c r="L19" s="76">
        <f t="shared" si="8"/>
        <v>-64.42245935027772</v>
      </c>
      <c r="M19" s="76">
        <f t="shared" si="9"/>
        <v>2.5381249894692441</v>
      </c>
      <c r="N19" s="76">
        <f t="shared" si="10"/>
        <v>14.620343242719251</v>
      </c>
      <c r="O19" s="76">
        <f t="shared" si="11"/>
        <v>2.5381249894692441</v>
      </c>
      <c r="P19" s="89">
        <f t="shared" si="2"/>
        <v>24.112847229005702</v>
      </c>
    </row>
    <row r="20" spans="1:16" ht="16.5" x14ac:dyDescent="0.25">
      <c r="A20" s="72">
        <v>14</v>
      </c>
      <c r="B20" s="73" t="str">
        <f>'Capacity Statememnt'!F20</f>
        <v>765+15</v>
      </c>
      <c r="C20" s="73" t="s">
        <v>64</v>
      </c>
      <c r="D20" s="76">
        <f>'Capacity Statememnt'!O20</f>
        <v>124.47093734128543</v>
      </c>
      <c r="E20" s="76">
        <f t="shared" si="3"/>
        <v>29.788267240849873</v>
      </c>
      <c r="F20" s="76">
        <f t="shared" si="0"/>
        <v>1.3495812259413982</v>
      </c>
      <c r="G20" s="76">
        <f t="shared" si="4"/>
        <v>2.1626789779142492</v>
      </c>
      <c r="H20" s="76">
        <f t="shared" si="5"/>
        <v>1.9715207497270739</v>
      </c>
      <c r="I20" s="76">
        <f t="shared" si="6"/>
        <v>64.42245935027772</v>
      </c>
      <c r="J20" s="76">
        <f t="shared" si="1"/>
        <v>-1.7360679774997898</v>
      </c>
      <c r="K20" s="76">
        <f t="shared" si="7"/>
        <v>29.788267240849873</v>
      </c>
      <c r="L20" s="76">
        <f t="shared" si="8"/>
        <v>-64.42245935027772</v>
      </c>
      <c r="M20" s="76">
        <f t="shared" si="9"/>
        <v>2.5381249894692441</v>
      </c>
      <c r="N20" s="76">
        <f t="shared" si="10"/>
        <v>14.620343242719251</v>
      </c>
      <c r="O20" s="76">
        <f t="shared" si="11"/>
        <v>2.5381249894692441</v>
      </c>
      <c r="P20" s="89">
        <f t="shared" si="2"/>
        <v>24.112847229005702</v>
      </c>
    </row>
    <row r="21" spans="1:16" ht="16.5" x14ac:dyDescent="0.25">
      <c r="A21" s="72">
        <v>15</v>
      </c>
      <c r="B21" s="73" t="str">
        <f>'Capacity Statememnt'!F21</f>
        <v>809+51</v>
      </c>
      <c r="C21" s="73" t="s">
        <v>65</v>
      </c>
      <c r="D21" s="76">
        <f>'Capacity Statememnt'!O21</f>
        <v>116.15651821325686</v>
      </c>
      <c r="E21" s="76">
        <f t="shared" si="3"/>
        <v>28.776174219143289</v>
      </c>
      <c r="F21" s="76">
        <f t="shared" si="0"/>
        <v>1.3402832518646808</v>
      </c>
      <c r="G21" s="76">
        <f t="shared" si="4"/>
        <v>2.11828673402078</v>
      </c>
      <c r="H21" s="76">
        <f t="shared" si="5"/>
        <v>1.9444486446707576</v>
      </c>
      <c r="I21" s="76">
        <f t="shared" si="6"/>
        <v>60.956188104282006</v>
      </c>
      <c r="J21" s="76">
        <f t="shared" si="1"/>
        <v>-1.7360679774997898</v>
      </c>
      <c r="K21" s="76">
        <f t="shared" si="7"/>
        <v>28.776174219143289</v>
      </c>
      <c r="L21" s="76">
        <f t="shared" si="8"/>
        <v>-60.956188104282006</v>
      </c>
      <c r="M21" s="76">
        <f t="shared" si="9"/>
        <v>2.49334460644216</v>
      </c>
      <c r="N21" s="76">
        <f t="shared" si="10"/>
        <v>14.082143561126884</v>
      </c>
      <c r="O21" s="76">
        <f t="shared" si="11"/>
        <v>2.49334460644216</v>
      </c>
      <c r="P21" s="89">
        <f t="shared" si="2"/>
        <v>23.200886187806162</v>
      </c>
    </row>
    <row r="22" spans="1:16" ht="16.5" x14ac:dyDescent="0.25">
      <c r="A22" s="72">
        <v>16</v>
      </c>
      <c r="B22" s="73" t="str">
        <f>'Capacity Statememnt'!F22</f>
        <v>809+51</v>
      </c>
      <c r="C22" s="73" t="s">
        <v>66</v>
      </c>
      <c r="D22" s="76">
        <f>'Capacity Statememnt'!O22</f>
        <v>116.15651821325686</v>
      </c>
      <c r="E22" s="76">
        <f t="shared" si="3"/>
        <v>28.776174219143289</v>
      </c>
      <c r="F22" s="76">
        <f t="shared" si="0"/>
        <v>1.3402832518646808</v>
      </c>
      <c r="G22" s="76">
        <f t="shared" si="4"/>
        <v>2.11828673402078</v>
      </c>
      <c r="H22" s="76">
        <f t="shared" si="5"/>
        <v>1.9444486446707576</v>
      </c>
      <c r="I22" s="76">
        <f t="shared" si="6"/>
        <v>60.956188104282006</v>
      </c>
      <c r="J22" s="76">
        <f t="shared" si="1"/>
        <v>-1.7360679774997898</v>
      </c>
      <c r="K22" s="76">
        <f t="shared" si="7"/>
        <v>28.776174219143289</v>
      </c>
      <c r="L22" s="76">
        <f t="shared" si="8"/>
        <v>-60.956188104282006</v>
      </c>
      <c r="M22" s="76">
        <f t="shared" si="9"/>
        <v>2.49334460644216</v>
      </c>
      <c r="N22" s="76">
        <f t="shared" si="10"/>
        <v>14.082143561126884</v>
      </c>
      <c r="O22" s="76">
        <f t="shared" si="11"/>
        <v>2.49334460644216</v>
      </c>
      <c r="P22" s="89">
        <f t="shared" si="2"/>
        <v>23.200886187806162</v>
      </c>
    </row>
    <row r="23" spans="1:16" ht="16.5" x14ac:dyDescent="0.25">
      <c r="A23" s="72">
        <v>17</v>
      </c>
      <c r="B23" s="73" t="str">
        <f>'Capacity Statememnt'!F23</f>
        <v>853+87</v>
      </c>
      <c r="C23" s="73" t="s">
        <v>67</v>
      </c>
      <c r="D23" s="76">
        <f>'Capacity Statememnt'!O23</f>
        <v>107.9220773166947</v>
      </c>
      <c r="E23" s="76">
        <f t="shared" si="3"/>
        <v>27.737442149249897</v>
      </c>
      <c r="F23" s="76">
        <f t="shared" si="0"/>
        <v>1.3304644103455645</v>
      </c>
      <c r="G23" s="76">
        <f t="shared" si="4"/>
        <v>2.0720716061959985</v>
      </c>
      <c r="H23" s="76">
        <f t="shared" si="5"/>
        <v>1.9160631541680135</v>
      </c>
      <c r="I23" s="76">
        <f t="shared" si="6"/>
        <v>57.473966305964822</v>
      </c>
      <c r="J23" s="76">
        <f t="shared" si="1"/>
        <v>-1.7360679774997898</v>
      </c>
      <c r="K23" s="76">
        <f t="shared" si="7"/>
        <v>27.737442149249897</v>
      </c>
      <c r="L23" s="76">
        <f t="shared" si="8"/>
        <v>-57.473966305964822</v>
      </c>
      <c r="M23" s="76">
        <f t="shared" si="9"/>
        <v>2.4467759441972565</v>
      </c>
      <c r="N23" s="76">
        <f t="shared" si="10"/>
        <v>13.53038768576392</v>
      </c>
      <c r="O23" s="76">
        <f t="shared" si="11"/>
        <v>2.4467759441972565</v>
      </c>
      <c r="P23" s="89">
        <f t="shared" si="2"/>
        <v>22.266284812313597</v>
      </c>
    </row>
    <row r="24" spans="1:16" ht="16.5" x14ac:dyDescent="0.25">
      <c r="A24" s="72">
        <v>18</v>
      </c>
      <c r="B24" s="73" t="str">
        <f>'Capacity Statememnt'!F24</f>
        <v>853+87</v>
      </c>
      <c r="C24" s="73" t="s">
        <v>68</v>
      </c>
      <c r="D24" s="76">
        <f>'Capacity Statememnt'!O24</f>
        <v>107.9220773166947</v>
      </c>
      <c r="E24" s="76">
        <f t="shared" si="3"/>
        <v>27.737442149249897</v>
      </c>
      <c r="F24" s="76">
        <f t="shared" si="0"/>
        <v>1.3304644103455645</v>
      </c>
      <c r="G24" s="76">
        <f t="shared" si="4"/>
        <v>2.0720716061959985</v>
      </c>
      <c r="H24" s="76">
        <f t="shared" si="5"/>
        <v>1.9160631541680135</v>
      </c>
      <c r="I24" s="76">
        <f t="shared" si="6"/>
        <v>57.473966305964822</v>
      </c>
      <c r="J24" s="76">
        <f t="shared" si="1"/>
        <v>-1.7360679774997898</v>
      </c>
      <c r="K24" s="76">
        <f t="shared" si="7"/>
        <v>27.737442149249897</v>
      </c>
      <c r="L24" s="76">
        <f t="shared" si="8"/>
        <v>-57.473966305964822</v>
      </c>
      <c r="M24" s="76">
        <f t="shared" si="9"/>
        <v>2.4467759441972565</v>
      </c>
      <c r="N24" s="76">
        <f t="shared" si="10"/>
        <v>13.53038768576392</v>
      </c>
      <c r="O24" s="76">
        <f t="shared" si="11"/>
        <v>2.4467759441972565</v>
      </c>
      <c r="P24" s="89">
        <f t="shared" si="2"/>
        <v>22.266284812313597</v>
      </c>
    </row>
    <row r="25" spans="1:16" ht="16.5" x14ac:dyDescent="0.25">
      <c r="A25" s="72">
        <v>19</v>
      </c>
      <c r="B25" s="73" t="str">
        <f>'Capacity Statememnt'!F25</f>
        <v>898+22</v>
      </c>
      <c r="C25" s="73" t="s">
        <v>69</v>
      </c>
      <c r="D25" s="76">
        <f>'Capacity Statememnt'!O25</f>
        <v>99.769906229815206</v>
      </c>
      <c r="E25" s="76">
        <f t="shared" si="3"/>
        <v>26.669264791548521</v>
      </c>
      <c r="F25" s="76">
        <f t="shared" si="0"/>
        <v>1.32005549273149</v>
      </c>
      <c r="G25" s="76">
        <f t="shared" si="4"/>
        <v>2.0238183993884684</v>
      </c>
      <c r="H25" s="76">
        <f t="shared" si="5"/>
        <v>1.8861997070323837</v>
      </c>
      <c r="I25" s="76">
        <f t="shared" si="6"/>
        <v>53.973748783298966</v>
      </c>
      <c r="J25" s="76">
        <f t="shared" si="1"/>
        <v>-1.7360679774997898</v>
      </c>
      <c r="K25" s="76">
        <f t="shared" si="7"/>
        <v>26.669264791548521</v>
      </c>
      <c r="L25" s="76">
        <f t="shared" si="8"/>
        <v>-53.973748783298966</v>
      </c>
      <c r="M25" s="76">
        <f t="shared" si="9"/>
        <v>2.3982150203194497</v>
      </c>
      <c r="N25" s="76">
        <f t="shared" si="10"/>
        <v>12.963663164863394</v>
      </c>
      <c r="O25" s="76">
        <f t="shared" si="11"/>
        <v>2.3982150203194497</v>
      </c>
      <c r="P25" s="89">
        <f t="shared" si="2"/>
        <v>21.306692981453196</v>
      </c>
    </row>
    <row r="26" spans="1:16" ht="16.5" x14ac:dyDescent="0.25">
      <c r="A26" s="72">
        <v>20</v>
      </c>
      <c r="B26" s="73" t="str">
        <f>'Capacity Statememnt'!F26</f>
        <v>898+22</v>
      </c>
      <c r="C26" s="73" t="s">
        <v>70</v>
      </c>
      <c r="D26" s="76">
        <f>'Capacity Statememnt'!O26</f>
        <v>99.769906229815206</v>
      </c>
      <c r="E26" s="76">
        <f t="shared" si="3"/>
        <v>26.669264791548521</v>
      </c>
      <c r="F26" s="76">
        <f t="shared" si="0"/>
        <v>1.32005549273149</v>
      </c>
      <c r="G26" s="76">
        <f t="shared" si="4"/>
        <v>2.0238183993884684</v>
      </c>
      <c r="H26" s="76">
        <f t="shared" si="5"/>
        <v>1.8861997070323837</v>
      </c>
      <c r="I26" s="76">
        <f t="shared" si="6"/>
        <v>53.973748783298966</v>
      </c>
      <c r="J26" s="76">
        <f t="shared" si="1"/>
        <v>-1.7360679774997898</v>
      </c>
      <c r="K26" s="76">
        <f t="shared" si="7"/>
        <v>26.669264791548521</v>
      </c>
      <c r="L26" s="76">
        <f t="shared" si="8"/>
        <v>-53.973748783298966</v>
      </c>
      <c r="M26" s="76">
        <f t="shared" si="9"/>
        <v>2.3982150203194497</v>
      </c>
      <c r="N26" s="76">
        <f t="shared" si="10"/>
        <v>12.963663164863394</v>
      </c>
      <c r="O26" s="76">
        <f t="shared" si="11"/>
        <v>2.3982150203194497</v>
      </c>
      <c r="P26" s="89">
        <f t="shared" si="2"/>
        <v>21.306692981453196</v>
      </c>
    </row>
    <row r="27" spans="1:16" ht="16.5" x14ac:dyDescent="0.25">
      <c r="A27" s="72">
        <v>21</v>
      </c>
      <c r="B27" s="73" t="str">
        <f>'Capacity Statememnt'!F27</f>
        <v>942+58</v>
      </c>
      <c r="C27" s="73" t="s">
        <v>132</v>
      </c>
      <c r="D27" s="76">
        <f>'Capacity Statememnt'!O27</f>
        <v>91.702527536153411</v>
      </c>
      <c r="E27" s="76">
        <f t="shared" si="3"/>
        <v>25.568303591605055</v>
      </c>
      <c r="F27" s="76">
        <f t="shared" si="0"/>
        <v>1.3089720181031554</v>
      </c>
      <c r="G27" s="76">
        <f t="shared" si="4"/>
        <v>1.9732679520137926</v>
      </c>
      <c r="H27" s="76">
        <f t="shared" si="5"/>
        <v>1.8546587869408764</v>
      </c>
      <c r="I27" s="76">
        <f t="shared" si="6"/>
        <v>50.453114064673407</v>
      </c>
      <c r="J27" s="76">
        <f t="shared" si="1"/>
        <v>-1.7360679774997898</v>
      </c>
      <c r="K27" s="76">
        <f t="shared" si="7"/>
        <v>25.568303591605055</v>
      </c>
      <c r="L27" s="76">
        <f t="shared" si="8"/>
        <v>-50.453114064673407</v>
      </c>
      <c r="M27" s="76">
        <f t="shared" si="9"/>
        <v>2.3474178326172699</v>
      </c>
      <c r="N27" s="76">
        <f t="shared" si="10"/>
        <v>12.380290945484509</v>
      </c>
      <c r="O27" s="76">
        <f t="shared" si="11"/>
        <v>2.3474178326172699</v>
      </c>
      <c r="P27" s="89">
        <f t="shared" si="2"/>
        <v>20.319317746277616</v>
      </c>
    </row>
    <row r="28" spans="1:16" ht="16.5" x14ac:dyDescent="0.25">
      <c r="A28" s="72">
        <v>22</v>
      </c>
      <c r="B28" s="73" t="str">
        <f>'Capacity Statememnt'!F28</f>
        <v>942+58</v>
      </c>
      <c r="C28" s="73" t="s">
        <v>133</v>
      </c>
      <c r="D28" s="76">
        <f>'Capacity Statememnt'!O28</f>
        <v>91.702527536153411</v>
      </c>
      <c r="E28" s="76">
        <f t="shared" si="3"/>
        <v>25.568303591605055</v>
      </c>
      <c r="F28" s="76">
        <f t="shared" si="0"/>
        <v>1.3089720181031554</v>
      </c>
      <c r="G28" s="76">
        <f t="shared" si="4"/>
        <v>1.9732679520137926</v>
      </c>
      <c r="H28" s="76">
        <f t="shared" si="5"/>
        <v>1.8546587869408764</v>
      </c>
      <c r="I28" s="76">
        <f t="shared" si="6"/>
        <v>50.453114064673407</v>
      </c>
      <c r="J28" s="76">
        <f t="shared" si="1"/>
        <v>-1.7360679774997898</v>
      </c>
      <c r="K28" s="76">
        <f t="shared" si="7"/>
        <v>25.568303591605055</v>
      </c>
      <c r="L28" s="76">
        <f t="shared" si="8"/>
        <v>-50.453114064673407</v>
      </c>
      <c r="M28" s="76">
        <f t="shared" si="9"/>
        <v>2.3474178326172699</v>
      </c>
      <c r="N28" s="76">
        <f t="shared" si="10"/>
        <v>12.380290945484509</v>
      </c>
      <c r="O28" s="76">
        <f t="shared" si="11"/>
        <v>2.3474178326172699</v>
      </c>
      <c r="P28" s="89">
        <f t="shared" si="2"/>
        <v>20.319317746277616</v>
      </c>
    </row>
    <row r="29" spans="1:16" ht="16.5" x14ac:dyDescent="0.25">
      <c r="A29" s="72">
        <v>23</v>
      </c>
      <c r="B29" s="73" t="str">
        <f>'Capacity Statememnt'!F29</f>
        <v>986+94</v>
      </c>
      <c r="C29" s="73" t="s">
        <v>134</v>
      </c>
      <c r="D29" s="76">
        <f>'Capacity Statememnt'!O29</f>
        <v>83.722737320112898</v>
      </c>
      <c r="E29" s="76">
        <f t="shared" si="3"/>
        <v>24.430534625368981</v>
      </c>
      <c r="F29" s="76">
        <f t="shared" si="0"/>
        <v>1.2971093027172358</v>
      </c>
      <c r="G29" s="76">
        <f t="shared" si="4"/>
        <v>1.9201037530210081</v>
      </c>
      <c r="H29" s="76">
        <f t="shared" si="5"/>
        <v>1.8211949781392924</v>
      </c>
      <c r="I29" s="76">
        <f t="shared" si="6"/>
        <v>46.90916122248067</v>
      </c>
      <c r="J29" s="76">
        <f t="shared" si="1"/>
        <v>-1.7360679774997898</v>
      </c>
      <c r="K29" s="76">
        <f t="shared" si="7"/>
        <v>24.430534625368981</v>
      </c>
      <c r="L29" s="76">
        <f t="shared" si="8"/>
        <v>-46.90916122248067</v>
      </c>
      <c r="M29" s="76">
        <f t="shared" si="9"/>
        <v>2.2940887572694142</v>
      </c>
      <c r="N29" s="76">
        <f t="shared" si="10"/>
        <v>11.778248813608876</v>
      </c>
      <c r="O29" s="76">
        <f t="shared" si="11"/>
        <v>2.2940887572694142</v>
      </c>
      <c r="P29" s="89">
        <f t="shared" si="2"/>
        <v>19.300796217696561</v>
      </c>
    </row>
    <row r="30" spans="1:16" ht="16.5" x14ac:dyDescent="0.25">
      <c r="A30" s="72">
        <v>24</v>
      </c>
      <c r="B30" s="73" t="str">
        <f>'Capacity Statememnt'!F30</f>
        <v>986+94</v>
      </c>
      <c r="C30" s="73" t="s">
        <v>135</v>
      </c>
      <c r="D30" s="76">
        <f>'Capacity Statememnt'!O30</f>
        <v>83.722737320112898</v>
      </c>
      <c r="E30" s="76">
        <f t="shared" si="3"/>
        <v>24.430534625368981</v>
      </c>
      <c r="F30" s="76">
        <f t="shared" si="0"/>
        <v>1.2971093027172358</v>
      </c>
      <c r="G30" s="76">
        <f t="shared" si="4"/>
        <v>1.9201037530210081</v>
      </c>
      <c r="H30" s="76">
        <f t="shared" si="5"/>
        <v>1.8211949781392924</v>
      </c>
      <c r="I30" s="76">
        <f t="shared" si="6"/>
        <v>46.90916122248067</v>
      </c>
      <c r="J30" s="76">
        <f t="shared" si="1"/>
        <v>-1.7360679774997898</v>
      </c>
      <c r="K30" s="76">
        <f t="shared" si="7"/>
        <v>24.430534625368981</v>
      </c>
      <c r="L30" s="76">
        <f t="shared" si="8"/>
        <v>-46.90916122248067</v>
      </c>
      <c r="M30" s="76">
        <f t="shared" si="9"/>
        <v>2.2940887572694142</v>
      </c>
      <c r="N30" s="76">
        <f t="shared" si="10"/>
        <v>11.778248813608876</v>
      </c>
      <c r="O30" s="76">
        <f t="shared" si="11"/>
        <v>2.2940887572694142</v>
      </c>
      <c r="P30" s="89">
        <f t="shared" si="2"/>
        <v>19.300796217696561</v>
      </c>
    </row>
    <row r="31" spans="1:16" ht="16.5" x14ac:dyDescent="0.25">
      <c r="A31" s="72">
        <v>25</v>
      </c>
      <c r="B31" s="73" t="str">
        <f>'Capacity Statememnt'!F31</f>
        <v>103+129</v>
      </c>
      <c r="C31" s="73" t="s">
        <v>136</v>
      </c>
      <c r="D31" s="76">
        <f>'Capacity Statememnt'!O31</f>
        <v>75.833659597401819</v>
      </c>
      <c r="E31" s="76">
        <f t="shared" si="3"/>
        <v>23.25103386742013</v>
      </c>
      <c r="F31" s="76">
        <f t="shared" si="0"/>
        <v>1.2843353422767305</v>
      </c>
      <c r="G31" s="76">
        <f t="shared" si="4"/>
        <v>1.8639329047097639</v>
      </c>
      <c r="H31" s="76">
        <f t="shared" si="5"/>
        <v>1.7855012690637988</v>
      </c>
      <c r="I31" s="76">
        <f t="shared" si="6"/>
        <v>43.338367094005498</v>
      </c>
      <c r="J31" s="76">
        <f t="shared" si="1"/>
        <v>-1.7360679774997898</v>
      </c>
      <c r="K31" s="76">
        <f t="shared" si="7"/>
        <v>23.25103386742013</v>
      </c>
      <c r="L31" s="76">
        <f t="shared" si="8"/>
        <v>-43.338367094005498</v>
      </c>
      <c r="M31" s="76">
        <f t="shared" si="9"/>
        <v>2.2378643309540891</v>
      </c>
      <c r="N31" s="76">
        <f t="shared" si="10"/>
        <v>11.15506392344829</v>
      </c>
      <c r="O31" s="76">
        <f t="shared" si="11"/>
        <v>2.2378643309540891</v>
      </c>
      <c r="P31" s="89">
        <f t="shared" si="2"/>
        <v>18.247017098984692</v>
      </c>
    </row>
    <row r="32" spans="1:16" ht="16.5" x14ac:dyDescent="0.25">
      <c r="A32" s="72">
        <v>26</v>
      </c>
      <c r="B32" s="73" t="str">
        <f>'Capacity Statememnt'!F32</f>
        <v>103+129</v>
      </c>
      <c r="C32" s="73" t="s">
        <v>137</v>
      </c>
      <c r="D32" s="76">
        <f>'Capacity Statememnt'!O32</f>
        <v>75.833659597401819</v>
      </c>
      <c r="E32" s="76">
        <f t="shared" si="3"/>
        <v>23.25103386742013</v>
      </c>
      <c r="F32" s="76">
        <f t="shared" si="0"/>
        <v>1.2843353422767305</v>
      </c>
      <c r="G32" s="76">
        <f t="shared" si="4"/>
        <v>1.8639329047097639</v>
      </c>
      <c r="H32" s="76">
        <f t="shared" si="5"/>
        <v>1.7855012690637988</v>
      </c>
      <c r="I32" s="76">
        <f t="shared" si="6"/>
        <v>43.338367094005498</v>
      </c>
      <c r="J32" s="76">
        <f t="shared" si="1"/>
        <v>-1.7360679774997898</v>
      </c>
      <c r="K32" s="76">
        <f t="shared" si="7"/>
        <v>23.25103386742013</v>
      </c>
      <c r="L32" s="76">
        <f t="shared" si="8"/>
        <v>-43.338367094005498</v>
      </c>
      <c r="M32" s="76">
        <f t="shared" si="9"/>
        <v>2.2378643309540891</v>
      </c>
      <c r="N32" s="76">
        <f t="shared" si="10"/>
        <v>11.15506392344829</v>
      </c>
      <c r="O32" s="76">
        <f t="shared" si="11"/>
        <v>2.2378643309540891</v>
      </c>
      <c r="P32" s="89">
        <f t="shared" si="2"/>
        <v>18.247017098984692</v>
      </c>
    </row>
    <row r="33" spans="1:16" ht="16.5" x14ac:dyDescent="0.25">
      <c r="A33" s="72">
        <v>27</v>
      </c>
      <c r="B33" s="73" t="str">
        <f>'Capacity Statememnt'!F33</f>
        <v>107+565</v>
      </c>
      <c r="C33" s="73" t="s">
        <v>138</v>
      </c>
      <c r="D33" s="76">
        <f>'Capacity Statememnt'!O33</f>
        <v>68.038817397191437</v>
      </c>
      <c r="E33" s="76">
        <f t="shared" si="3"/>
        <v>22.023667390851095</v>
      </c>
      <c r="F33" s="76">
        <f t="shared" si="0"/>
        <v>1.2704802195067197</v>
      </c>
      <c r="G33" s="76">
        <f t="shared" si="4"/>
        <v>1.8042582411178394</v>
      </c>
      <c r="H33" s="76">
        <f t="shared" si="5"/>
        <v>1.7471858811118535</v>
      </c>
      <c r="I33" s="76">
        <f t="shared" si="6"/>
        <v>39.736383389581313</v>
      </c>
      <c r="J33" s="76">
        <f t="shared" si="1"/>
        <v>-1.7360679774997898</v>
      </c>
      <c r="K33" s="76">
        <f t="shared" si="7"/>
        <v>22.023667390851095</v>
      </c>
      <c r="L33" s="76">
        <f t="shared" si="8"/>
        <v>-39.736383389581313</v>
      </c>
      <c r="M33" s="76">
        <f t="shared" si="9"/>
        <v>2.1782900036691792</v>
      </c>
      <c r="N33" s="76">
        <f t="shared" si="10"/>
        <v>10.507657595323247</v>
      </c>
      <c r="O33" s="76">
        <f t="shared" si="11"/>
        <v>2.1782900036691792</v>
      </c>
      <c r="P33" s="89">
        <f t="shared" si="2"/>
        <v>17.152862867938541</v>
      </c>
    </row>
    <row r="34" spans="1:16" ht="16.5" x14ac:dyDescent="0.25">
      <c r="A34" s="72">
        <v>28</v>
      </c>
      <c r="B34" s="73" t="str">
        <f>'Capacity Statememnt'!F34</f>
        <v>107+565</v>
      </c>
      <c r="C34" s="73" t="s">
        <v>139</v>
      </c>
      <c r="D34" s="76">
        <f>'Capacity Statememnt'!O34</f>
        <v>68.038817397191437</v>
      </c>
      <c r="E34" s="76">
        <f t="shared" si="3"/>
        <v>22.023667390851095</v>
      </c>
      <c r="F34" s="76">
        <f t="shared" si="0"/>
        <v>1.2704802195067197</v>
      </c>
      <c r="G34" s="76">
        <f t="shared" si="4"/>
        <v>1.8042582411178394</v>
      </c>
      <c r="H34" s="76">
        <f t="shared" si="5"/>
        <v>1.7471858811118535</v>
      </c>
      <c r="I34" s="76">
        <f t="shared" si="6"/>
        <v>39.736383389581313</v>
      </c>
      <c r="J34" s="76">
        <f t="shared" si="1"/>
        <v>-1.7360679774997898</v>
      </c>
      <c r="K34" s="76">
        <f t="shared" si="7"/>
        <v>22.023667390851095</v>
      </c>
      <c r="L34" s="76">
        <f t="shared" si="8"/>
        <v>-39.736383389581313</v>
      </c>
      <c r="M34" s="76">
        <f t="shared" si="9"/>
        <v>2.1782900036691792</v>
      </c>
      <c r="N34" s="76">
        <f t="shared" si="10"/>
        <v>10.507657595323247</v>
      </c>
      <c r="O34" s="76">
        <f t="shared" si="11"/>
        <v>2.1782900036691792</v>
      </c>
      <c r="P34" s="89">
        <f t="shared" si="2"/>
        <v>17.152862867938541</v>
      </c>
    </row>
    <row r="35" spans="1:16" ht="16.5" x14ac:dyDescent="0.25">
      <c r="A35" s="72">
        <v>29</v>
      </c>
      <c r="B35" s="73" t="str">
        <f>'Capacity Statememnt'!F35</f>
        <v>112+001</v>
      </c>
      <c r="C35" s="73" t="s">
        <v>140</v>
      </c>
      <c r="D35" s="76">
        <f>'Capacity Statememnt'!O35</f>
        <v>60.342227723516316</v>
      </c>
      <c r="E35" s="76">
        <f t="shared" si="3"/>
        <v>20.740629383366731</v>
      </c>
      <c r="F35" s="76">
        <f t="shared" si="0"/>
        <v>1.2553197628091375</v>
      </c>
      <c r="G35" s="76">
        <f t="shared" si="4"/>
        <v>1.740436058962199</v>
      </c>
      <c r="H35" s="76">
        <f t="shared" si="5"/>
        <v>1.7057368354017892</v>
      </c>
      <c r="I35" s="76">
        <f t="shared" si="6"/>
        <v>36.097739264382376</v>
      </c>
      <c r="J35" s="76">
        <f t="shared" si="1"/>
        <v>-1.7360679774997898</v>
      </c>
      <c r="K35" s="76">
        <f t="shared" si="7"/>
        <v>20.740629383366731</v>
      </c>
      <c r="L35" s="76">
        <f t="shared" si="8"/>
        <v>-36.097739264382376</v>
      </c>
      <c r="M35" s="76">
        <f t="shared" si="9"/>
        <v>2.1147858393730674</v>
      </c>
      <c r="N35" s="76">
        <f t="shared" si="10"/>
        <v>9.8321135056839672</v>
      </c>
      <c r="O35" s="76">
        <f t="shared" si="11"/>
        <v>2.1147858393730674</v>
      </c>
      <c r="P35" s="89">
        <f t="shared" si="2"/>
        <v>16.011824488674602</v>
      </c>
    </row>
    <row r="36" spans="1:16" ht="16.5" x14ac:dyDescent="0.25">
      <c r="A36" s="72">
        <v>30</v>
      </c>
      <c r="B36" s="73" t="str">
        <f>'Capacity Statememnt'!F36</f>
        <v>112+001</v>
      </c>
      <c r="C36" s="73" t="s">
        <v>141</v>
      </c>
      <c r="D36" s="76">
        <f>'Capacity Statememnt'!O36</f>
        <v>60.342227723516316</v>
      </c>
      <c r="E36" s="76">
        <f t="shared" si="3"/>
        <v>20.740629383366731</v>
      </c>
      <c r="F36" s="76">
        <f t="shared" si="0"/>
        <v>1.2553197628091375</v>
      </c>
      <c r="G36" s="76">
        <f t="shared" si="4"/>
        <v>1.740436058962199</v>
      </c>
      <c r="H36" s="76">
        <f t="shared" si="5"/>
        <v>1.7057368354017892</v>
      </c>
      <c r="I36" s="76">
        <f t="shared" si="6"/>
        <v>36.097739264382376</v>
      </c>
      <c r="J36" s="76">
        <f t="shared" si="1"/>
        <v>-1.7360679774997898</v>
      </c>
      <c r="K36" s="76">
        <f t="shared" si="7"/>
        <v>20.740629383366731</v>
      </c>
      <c r="L36" s="76">
        <f t="shared" si="8"/>
        <v>-36.097739264382376</v>
      </c>
      <c r="M36" s="76">
        <f t="shared" si="9"/>
        <v>2.1147858393730674</v>
      </c>
      <c r="N36" s="76">
        <f t="shared" si="10"/>
        <v>9.8321135056839672</v>
      </c>
      <c r="O36" s="76">
        <f t="shared" si="11"/>
        <v>2.1147858393730674</v>
      </c>
      <c r="P36" s="89">
        <f t="shared" si="2"/>
        <v>16.011824488674602</v>
      </c>
    </row>
    <row r="37" spans="1:16" ht="16.5" x14ac:dyDescent="0.25">
      <c r="A37" s="72">
        <v>31</v>
      </c>
      <c r="B37" s="73" t="str">
        <f>'Capacity Statememnt'!F37</f>
        <v>116+437</v>
      </c>
      <c r="C37" s="73" t="s">
        <v>142</v>
      </c>
      <c r="D37" s="76">
        <f>'Capacity Statememnt'!O37</f>
        <v>52.748531890624704</v>
      </c>
      <c r="E37" s="76">
        <f t="shared" si="3"/>
        <v>19.391725271235526</v>
      </c>
      <c r="F37" s="76">
        <f t="shared" si="0"/>
        <v>1.2385492190428511</v>
      </c>
      <c r="G37" s="76">
        <f t="shared" si="4"/>
        <v>1.6716093195652648</v>
      </c>
      <c r="H37" s="76">
        <f t="shared" si="5"/>
        <v>1.6604654198852942</v>
      </c>
      <c r="I37" s="76">
        <f t="shared" si="6"/>
        <v>32.415388685846565</v>
      </c>
      <c r="J37" s="76">
        <f t="shared" si="1"/>
        <v>-1.7360679774997898</v>
      </c>
      <c r="K37" s="76">
        <f t="shared" si="7"/>
        <v>19.391725271235526</v>
      </c>
      <c r="L37" s="76">
        <f t="shared" si="8"/>
        <v>-32.415388685846565</v>
      </c>
      <c r="M37" s="76">
        <f t="shared" si="9"/>
        <v>2.046594196691859</v>
      </c>
      <c r="N37" s="76">
        <f t="shared" si="10"/>
        <v>9.1233170755399193</v>
      </c>
      <c r="O37" s="76">
        <f t="shared" si="11"/>
        <v>2.046594196691859</v>
      </c>
      <c r="P37" s="89">
        <f t="shared" si="2"/>
        <v>14.815401525075954</v>
      </c>
    </row>
    <row r="38" spans="1:16" ht="16.5" x14ac:dyDescent="0.25">
      <c r="A38" s="72">
        <v>32</v>
      </c>
      <c r="B38" s="73" t="str">
        <f>'Capacity Statememnt'!F38</f>
        <v>116+437</v>
      </c>
      <c r="C38" s="73" t="s">
        <v>143</v>
      </c>
      <c r="D38" s="76">
        <f>'Capacity Statememnt'!O38</f>
        <v>52.748531890624704</v>
      </c>
      <c r="E38" s="76">
        <f t="shared" si="3"/>
        <v>19.391725271235526</v>
      </c>
      <c r="F38" s="76">
        <f t="shared" si="0"/>
        <v>1.2385492190428511</v>
      </c>
      <c r="G38" s="76">
        <f t="shared" si="4"/>
        <v>1.6716093195652648</v>
      </c>
      <c r="H38" s="76">
        <f t="shared" si="5"/>
        <v>1.6604654198852942</v>
      </c>
      <c r="I38" s="76">
        <f t="shared" si="6"/>
        <v>32.415388685846565</v>
      </c>
      <c r="J38" s="76">
        <f t="shared" si="1"/>
        <v>-1.7360679774997898</v>
      </c>
      <c r="K38" s="76">
        <f t="shared" si="7"/>
        <v>19.391725271235526</v>
      </c>
      <c r="L38" s="76">
        <f t="shared" si="8"/>
        <v>-32.415388685846565</v>
      </c>
      <c r="M38" s="76">
        <f t="shared" si="9"/>
        <v>2.046594196691859</v>
      </c>
      <c r="N38" s="76">
        <f t="shared" si="10"/>
        <v>9.1233170755399193</v>
      </c>
      <c r="O38" s="76">
        <f t="shared" si="11"/>
        <v>2.046594196691859</v>
      </c>
      <c r="P38" s="89">
        <f t="shared" si="2"/>
        <v>14.815401525075954</v>
      </c>
    </row>
    <row r="39" spans="1:16" ht="16.5" x14ac:dyDescent="0.25">
      <c r="A39" s="72">
        <v>33</v>
      </c>
      <c r="B39" s="73" t="str">
        <f>'Capacity Statememnt'!F39</f>
        <v>120+872</v>
      </c>
      <c r="C39" s="73" t="s">
        <v>144</v>
      </c>
      <c r="D39" s="76">
        <f>'Capacity Statememnt'!O39</f>
        <v>45.263180346587191</v>
      </c>
      <c r="E39" s="76">
        <f t="shared" si="3"/>
        <v>17.963203677873985</v>
      </c>
      <c r="F39" s="76">
        <f t="shared" si="0"/>
        <v>1.2197385183689555</v>
      </c>
      <c r="G39" s="76">
        <f t="shared" si="4"/>
        <v>1.5965965645397562</v>
      </c>
      <c r="H39" s="76">
        <f t="shared" si="5"/>
        <v>1.6104111669909</v>
      </c>
      <c r="I39" s="76">
        <f t="shared" si="6"/>
        <v>28.679989280221516</v>
      </c>
      <c r="J39" s="76">
        <f t="shared" si="1"/>
        <v>-1.7360679774997898</v>
      </c>
      <c r="K39" s="76">
        <f t="shared" si="7"/>
        <v>17.963203677873985</v>
      </c>
      <c r="L39" s="76">
        <f t="shared" si="8"/>
        <v>-28.679989280221516</v>
      </c>
      <c r="M39" s="76">
        <f t="shared" si="9"/>
        <v>1.9726968098764182</v>
      </c>
      <c r="N39" s="76">
        <f t="shared" si="10"/>
        <v>8.3743655809314674</v>
      </c>
      <c r="O39" s="76">
        <f t="shared" si="11"/>
        <v>1.9726968098764182</v>
      </c>
      <c r="P39" s="89">
        <f t="shared" si="2"/>
        <v>13.552119511993338</v>
      </c>
    </row>
    <row r="40" spans="1:16" ht="16.5" x14ac:dyDescent="0.25">
      <c r="A40" s="72">
        <v>34</v>
      </c>
      <c r="B40" s="73" t="str">
        <f>'Capacity Statememnt'!F40</f>
        <v>120+872</v>
      </c>
      <c r="C40" s="73" t="s">
        <v>145</v>
      </c>
      <c r="D40" s="76">
        <f>'Capacity Statememnt'!O40</f>
        <v>45.263180346587191</v>
      </c>
      <c r="E40" s="76">
        <f t="shared" si="3"/>
        <v>17.963203677873985</v>
      </c>
      <c r="F40" s="76">
        <f t="shared" si="0"/>
        <v>1.2197385183689555</v>
      </c>
      <c r="G40" s="76">
        <f t="shared" si="4"/>
        <v>1.5965965645397562</v>
      </c>
      <c r="H40" s="76">
        <f t="shared" si="5"/>
        <v>1.6104111669909</v>
      </c>
      <c r="I40" s="76">
        <f t="shared" si="6"/>
        <v>28.679989280221516</v>
      </c>
      <c r="J40" s="76">
        <f t="shared" si="1"/>
        <v>-1.7360679774997898</v>
      </c>
      <c r="K40" s="76">
        <f t="shared" si="7"/>
        <v>17.963203677873985</v>
      </c>
      <c r="L40" s="76">
        <f t="shared" si="8"/>
        <v>-28.679989280221516</v>
      </c>
      <c r="M40" s="76">
        <f t="shared" si="9"/>
        <v>1.9726968098764182</v>
      </c>
      <c r="N40" s="76">
        <f t="shared" si="10"/>
        <v>8.3743655809314674</v>
      </c>
      <c r="O40" s="76">
        <f t="shared" si="11"/>
        <v>1.9726968098764182</v>
      </c>
      <c r="P40" s="89">
        <f t="shared" si="2"/>
        <v>13.552119511993338</v>
      </c>
    </row>
    <row r="41" spans="1:16" ht="16.5" x14ac:dyDescent="0.25">
      <c r="A41" s="72">
        <v>35</v>
      </c>
      <c r="B41" s="73" t="str">
        <f>'Capacity Statememnt'!F41</f>
        <v>125+308</v>
      </c>
      <c r="C41" s="73" t="s">
        <v>146</v>
      </c>
      <c r="D41" s="76">
        <f>'Capacity Statememnt'!O41</f>
        <v>37.892705545846539</v>
      </c>
      <c r="E41" s="76">
        <f t="shared" si="3"/>
        <v>16.435732675052407</v>
      </c>
      <c r="F41" s="76">
        <f t="shared" si="0"/>
        <v>1.1982509821754233</v>
      </c>
      <c r="G41" s="76">
        <f t="shared" si="4"/>
        <v>1.5136949263879333</v>
      </c>
      <c r="H41" s="76">
        <f t="shared" si="5"/>
        <v>1.5541712944271262</v>
      </c>
      <c r="I41" s="76">
        <f t="shared" si="6"/>
        <v>24.878685161695202</v>
      </c>
      <c r="J41" s="76">
        <f t="shared" si="1"/>
        <v>-1.7360679774997898</v>
      </c>
      <c r="K41" s="76">
        <f t="shared" si="7"/>
        <v>16.435732675052407</v>
      </c>
      <c r="L41" s="76">
        <f t="shared" si="8"/>
        <v>-24.878685161695202</v>
      </c>
      <c r="M41" s="76">
        <f t="shared" si="9"/>
        <v>1.8916776106917617</v>
      </c>
      <c r="N41" s="76">
        <f t="shared" si="10"/>
        <v>7.5755396227730474</v>
      </c>
      <c r="O41" s="76">
        <f t="shared" si="11"/>
        <v>1.8916776106917617</v>
      </c>
      <c r="P41" s="89">
        <f t="shared" si="2"/>
        <v>12.205812946031243</v>
      </c>
    </row>
    <row r="42" spans="1:16" ht="16.5" x14ac:dyDescent="0.25">
      <c r="A42" s="72">
        <v>36</v>
      </c>
      <c r="B42" s="73" t="str">
        <f>'Capacity Statememnt'!F42</f>
        <v>125+308</v>
      </c>
      <c r="C42" s="73" t="s">
        <v>147</v>
      </c>
      <c r="D42" s="76">
        <f>'Capacity Statememnt'!O42</f>
        <v>37.892705545846539</v>
      </c>
      <c r="E42" s="76">
        <f t="shared" si="3"/>
        <v>16.435732675052407</v>
      </c>
      <c r="F42" s="76">
        <f t="shared" si="0"/>
        <v>1.1982509821754233</v>
      </c>
      <c r="G42" s="76">
        <f t="shared" si="4"/>
        <v>1.5136949263879333</v>
      </c>
      <c r="H42" s="76">
        <f t="shared" si="5"/>
        <v>1.5541712944271262</v>
      </c>
      <c r="I42" s="76">
        <f t="shared" si="6"/>
        <v>24.878685161695202</v>
      </c>
      <c r="J42" s="76">
        <f t="shared" si="1"/>
        <v>-1.7360679774997898</v>
      </c>
      <c r="K42" s="76">
        <f t="shared" si="7"/>
        <v>16.435732675052407</v>
      </c>
      <c r="L42" s="76">
        <f t="shared" si="8"/>
        <v>-24.878685161695202</v>
      </c>
      <c r="M42" s="76">
        <f t="shared" si="9"/>
        <v>1.8916776106917617</v>
      </c>
      <c r="N42" s="76">
        <f t="shared" si="10"/>
        <v>7.5755396227730474</v>
      </c>
      <c r="O42" s="76">
        <f t="shared" si="11"/>
        <v>1.8916776106917617</v>
      </c>
      <c r="P42" s="89">
        <f t="shared" si="2"/>
        <v>12.205812946031243</v>
      </c>
    </row>
    <row r="43" spans="1:16" ht="16.5" x14ac:dyDescent="0.25">
      <c r="A43" s="72">
        <v>37</v>
      </c>
      <c r="B43" s="73" t="str">
        <f>'Capacity Statememnt'!F43</f>
        <v>129+744</v>
      </c>
      <c r="C43" s="73" t="s">
        <v>148</v>
      </c>
      <c r="D43" s="76">
        <f>'Capacity Statememnt'!O43</f>
        <v>30.645145940849069</v>
      </c>
      <c r="E43" s="76">
        <f t="shared" si="3"/>
        <v>14.780601506627495</v>
      </c>
      <c r="F43" s="76">
        <f t="shared" si="0"/>
        <v>1.1730820826182733</v>
      </c>
      <c r="G43" s="76">
        <f t="shared" si="4"/>
        <v>1.4203003004270929</v>
      </c>
      <c r="H43" s="76">
        <f t="shared" si="5"/>
        <v>1.4895671944527082</v>
      </c>
      <c r="I43" s="76">
        <f t="shared" si="6"/>
        <v>20.99289276035617</v>
      </c>
      <c r="J43" s="76">
        <f t="shared" si="1"/>
        <v>-1.7360679774997898</v>
      </c>
      <c r="K43" s="76">
        <f t="shared" si="7"/>
        <v>14.780601506627495</v>
      </c>
      <c r="L43" s="76">
        <f t="shared" si="8"/>
        <v>-20.99289276035617</v>
      </c>
      <c r="M43" s="76">
        <f t="shared" si="9"/>
        <v>1.8014856979118485</v>
      </c>
      <c r="N43" s="76">
        <f t="shared" si="10"/>
        <v>6.7123522958710211</v>
      </c>
      <c r="O43" s="76">
        <f t="shared" si="11"/>
        <v>1.8014856979118485</v>
      </c>
      <c r="P43" s="89">
        <f t="shared" si="2"/>
        <v>10.752357025602953</v>
      </c>
    </row>
    <row r="44" spans="1:16" ht="16.5" x14ac:dyDescent="0.25">
      <c r="A44" s="72">
        <v>38</v>
      </c>
      <c r="B44" s="73" t="str">
        <f>'Capacity Statememnt'!F44</f>
        <v>129+744</v>
      </c>
      <c r="C44" s="73" t="s">
        <v>149</v>
      </c>
      <c r="D44" s="76">
        <f>'Capacity Statememnt'!O44</f>
        <v>30.645145940849069</v>
      </c>
      <c r="E44" s="76">
        <f t="shared" si="3"/>
        <v>14.780601506627495</v>
      </c>
      <c r="F44" s="76">
        <f t="shared" si="0"/>
        <v>1.1730820826182733</v>
      </c>
      <c r="G44" s="76">
        <f t="shared" si="4"/>
        <v>1.4203003004270929</v>
      </c>
      <c r="H44" s="76">
        <f t="shared" si="5"/>
        <v>1.4895671944527082</v>
      </c>
      <c r="I44" s="76">
        <f t="shared" si="6"/>
        <v>20.99289276035617</v>
      </c>
      <c r="J44" s="76">
        <f t="shared" si="1"/>
        <v>-1.7360679774997898</v>
      </c>
      <c r="K44" s="76">
        <f t="shared" si="7"/>
        <v>14.780601506627495</v>
      </c>
      <c r="L44" s="76">
        <f t="shared" si="8"/>
        <v>-20.99289276035617</v>
      </c>
      <c r="M44" s="76">
        <f t="shared" si="9"/>
        <v>1.8014856979118485</v>
      </c>
      <c r="N44" s="76">
        <f t="shared" si="10"/>
        <v>6.7123522958710211</v>
      </c>
      <c r="O44" s="76">
        <f t="shared" si="11"/>
        <v>1.8014856979118485</v>
      </c>
      <c r="P44" s="89">
        <f t="shared" si="2"/>
        <v>10.752357025602953</v>
      </c>
    </row>
    <row r="45" spans="1:16" ht="16.5" x14ac:dyDescent="0.25">
      <c r="A45" s="72">
        <v>39</v>
      </c>
      <c r="B45" s="73" t="str">
        <f>'Capacity Statememnt'!F45</f>
        <v>134+179</v>
      </c>
      <c r="C45" s="73" t="s">
        <v>150</v>
      </c>
      <c r="D45" s="76">
        <f>'Capacity Statememnt'!O45</f>
        <v>23.530750490513405</v>
      </c>
      <c r="E45" s="76">
        <f t="shared" si="3"/>
        <v>12.951770812202517</v>
      </c>
      <c r="F45" s="76">
        <f t="shared" si="0"/>
        <v>1.1424989510693637</v>
      </c>
      <c r="G45" s="76">
        <f t="shared" si="4"/>
        <v>1.3120863105562934</v>
      </c>
      <c r="H45" s="76">
        <f t="shared" si="5"/>
        <v>1.4129113570208018</v>
      </c>
      <c r="I45" s="76">
        <f t="shared" si="6"/>
        <v>16.993841180153488</v>
      </c>
      <c r="J45" s="76">
        <f t="shared" si="1"/>
        <v>-1.7360679774997898</v>
      </c>
      <c r="K45" s="76">
        <f t="shared" si="7"/>
        <v>12.951770812202517</v>
      </c>
      <c r="L45" s="76">
        <f t="shared" si="8"/>
        <v>-16.993841180153488</v>
      </c>
      <c r="M45" s="76">
        <f t="shared" si="9"/>
        <v>1.6990167499119888</v>
      </c>
      <c r="N45" s="76">
        <f t="shared" si="10"/>
        <v>5.7613885913898528</v>
      </c>
      <c r="O45" s="76">
        <f t="shared" si="11"/>
        <v>1.6990167499119888</v>
      </c>
      <c r="P45" s="89">
        <f t="shared" si="2"/>
        <v>9.1526538644885491</v>
      </c>
    </row>
    <row r="46" spans="1:16" ht="16.5" x14ac:dyDescent="0.25">
      <c r="A46" s="72">
        <v>40</v>
      </c>
      <c r="B46" s="73" t="str">
        <f>'Capacity Statememnt'!F46</f>
        <v>134+179</v>
      </c>
      <c r="C46" s="73" t="s">
        <v>151</v>
      </c>
      <c r="D46" s="76">
        <f>'Capacity Statememnt'!O46</f>
        <v>23.530750490513405</v>
      </c>
      <c r="E46" s="76">
        <f t="shared" si="3"/>
        <v>12.951770812202517</v>
      </c>
      <c r="F46" s="76">
        <f t="shared" si="0"/>
        <v>1.1424989510693637</v>
      </c>
      <c r="G46" s="76">
        <f t="shared" si="4"/>
        <v>1.3120863105562934</v>
      </c>
      <c r="H46" s="76">
        <f t="shared" si="5"/>
        <v>1.4129113570208018</v>
      </c>
      <c r="I46" s="76">
        <f t="shared" si="6"/>
        <v>16.993841180153488</v>
      </c>
      <c r="J46" s="76">
        <f t="shared" si="1"/>
        <v>-1.7360679774997898</v>
      </c>
      <c r="K46" s="76">
        <f t="shared" si="7"/>
        <v>12.951770812202517</v>
      </c>
      <c r="L46" s="76">
        <f t="shared" si="8"/>
        <v>-16.993841180153488</v>
      </c>
      <c r="M46" s="76">
        <f t="shared" si="9"/>
        <v>1.6990167499119888</v>
      </c>
      <c r="N46" s="76">
        <f t="shared" si="10"/>
        <v>5.7613885913898528</v>
      </c>
      <c r="O46" s="76">
        <f t="shared" si="11"/>
        <v>1.6990167499119888</v>
      </c>
      <c r="P46" s="89">
        <f t="shared" si="2"/>
        <v>9.1526538644885491</v>
      </c>
    </row>
    <row r="47" spans="1:16" ht="16.5" x14ac:dyDescent="0.25">
      <c r="A47" s="72">
        <v>41</v>
      </c>
      <c r="B47" s="73" t="str">
        <f>'Capacity Statememnt'!F47</f>
        <v>138+615</v>
      </c>
      <c r="C47" s="73" t="s">
        <v>152</v>
      </c>
      <c r="D47" s="76">
        <f>'Capacity Statememnt'!O47</f>
        <v>16.563262536749999</v>
      </c>
      <c r="E47" s="76">
        <f t="shared" si="3"/>
        <v>10.866362882686969</v>
      </c>
      <c r="F47" s="76">
        <f t="shared" si="0"/>
        <v>1.1030795180803257</v>
      </c>
      <c r="G47" s="76">
        <f t="shared" si="4"/>
        <v>1.1809062916469428</v>
      </c>
      <c r="H47" s="76">
        <f t="shared" si="5"/>
        <v>1.3170945036203328</v>
      </c>
      <c r="I47" s="76">
        <f t="shared" si="6"/>
        <v>12.832156295483852</v>
      </c>
      <c r="J47" s="76">
        <f t="shared" si="1"/>
        <v>-1.7360679774997898</v>
      </c>
      <c r="K47" s="76">
        <f t="shared" si="7"/>
        <v>10.866362882686969</v>
      </c>
      <c r="L47" s="76">
        <f t="shared" si="8"/>
        <v>-12.832156295483852</v>
      </c>
      <c r="M47" s="76">
        <f t="shared" si="9"/>
        <v>1.5794839595616452</v>
      </c>
      <c r="N47" s="76">
        <f t="shared" si="10"/>
        <v>4.6796965699566959</v>
      </c>
      <c r="O47" s="76">
        <f t="shared" si="11"/>
        <v>1.5794839595616452</v>
      </c>
      <c r="P47" s="89">
        <f t="shared" si="2"/>
        <v>7.334529379736602</v>
      </c>
    </row>
    <row r="48" spans="1:16" ht="16.5" x14ac:dyDescent="0.25">
      <c r="A48" s="72">
        <v>42</v>
      </c>
      <c r="B48" s="73" t="str">
        <f>'Capacity Statememnt'!F48</f>
        <v>138+615</v>
      </c>
      <c r="C48" s="73" t="s">
        <v>153</v>
      </c>
      <c r="D48" s="76">
        <f>'Capacity Statememnt'!O48</f>
        <v>16.563262536749999</v>
      </c>
      <c r="E48" s="76">
        <f t="shared" si="3"/>
        <v>10.866362882686969</v>
      </c>
      <c r="F48" s="76">
        <f t="shared" si="0"/>
        <v>1.1030795180803257</v>
      </c>
      <c r="G48" s="76">
        <f t="shared" si="4"/>
        <v>1.1809062916469428</v>
      </c>
      <c r="H48" s="76">
        <f t="shared" si="5"/>
        <v>1.3170945036203328</v>
      </c>
      <c r="I48" s="76">
        <f t="shared" si="6"/>
        <v>12.832156295483852</v>
      </c>
      <c r="J48" s="76">
        <f t="shared" si="1"/>
        <v>-1.7360679774997898</v>
      </c>
      <c r="K48" s="76">
        <f t="shared" si="7"/>
        <v>10.866362882686969</v>
      </c>
      <c r="L48" s="76">
        <f t="shared" si="8"/>
        <v>-12.832156295483852</v>
      </c>
      <c r="M48" s="76">
        <f t="shared" si="9"/>
        <v>1.5794839595616452</v>
      </c>
      <c r="N48" s="76">
        <f t="shared" si="10"/>
        <v>4.6796965699566959</v>
      </c>
      <c r="O48" s="76">
        <f t="shared" si="11"/>
        <v>1.5794839595616452</v>
      </c>
      <c r="P48" s="89">
        <f t="shared" si="2"/>
        <v>7.334529379736602</v>
      </c>
    </row>
    <row r="49" spans="1:16" ht="16.5" x14ac:dyDescent="0.25">
      <c r="A49" s="72">
        <v>43</v>
      </c>
      <c r="B49" s="73" t="str">
        <f>'Capacity Statememnt'!F49</f>
        <v>143+051</v>
      </c>
      <c r="C49" s="73" t="s">
        <v>154</v>
      </c>
      <c r="D49" s="76">
        <f>'Capacity Statememnt'!O49</f>
        <v>9.7626017734852848</v>
      </c>
      <c r="E49" s="76">
        <f t="shared" si="3"/>
        <v>8.3424583776605825</v>
      </c>
      <c r="F49" s="76">
        <f t="shared" si="0"/>
        <v>1.0462820859874937</v>
      </c>
      <c r="G49" s="76">
        <f t="shared" si="4"/>
        <v>1.0077233994390911</v>
      </c>
      <c r="H49" s="76">
        <f t="shared" si="5"/>
        <v>1.1849523187125903</v>
      </c>
      <c r="I49" s="76">
        <f t="shared" si="6"/>
        <v>8.4068905160152472</v>
      </c>
      <c r="J49" s="76">
        <f t="shared" si="1"/>
        <v>-1.7360679774997898</v>
      </c>
      <c r="K49" s="76">
        <f t="shared" si="7"/>
        <v>8.3424583776605825</v>
      </c>
      <c r="L49" s="76">
        <f t="shared" si="8"/>
        <v>-8.4068905160152472</v>
      </c>
      <c r="M49" s="76">
        <f t="shared" si="9"/>
        <v>1.4381054295471336</v>
      </c>
      <c r="N49" s="76">
        <f t="shared" si="10"/>
        <v>3.3672699853459118</v>
      </c>
      <c r="O49" s="76">
        <f t="shared" si="11"/>
        <v>1.4381054295471336</v>
      </c>
      <c r="P49" s="89">
        <f t="shared" si="2"/>
        <v>5.1267568783816566</v>
      </c>
    </row>
    <row r="50" spans="1:16" ht="16.5" x14ac:dyDescent="0.25">
      <c r="A50" s="72">
        <v>44</v>
      </c>
      <c r="B50" s="73" t="str">
        <f>'Capacity Statememnt'!F50</f>
        <v>143+051</v>
      </c>
      <c r="C50" s="73" t="s">
        <v>155</v>
      </c>
      <c r="D50" s="76">
        <f>'Capacity Statememnt'!O50</f>
        <v>9.7626017734852848</v>
      </c>
      <c r="E50" s="76">
        <f t="shared" si="3"/>
        <v>8.3424583776605825</v>
      </c>
      <c r="F50" s="76">
        <f t="shared" si="0"/>
        <v>1.0462820859874937</v>
      </c>
      <c r="G50" s="76">
        <f t="shared" si="4"/>
        <v>1.0077233994390911</v>
      </c>
      <c r="H50" s="76">
        <f t="shared" si="5"/>
        <v>1.1849523187125903</v>
      </c>
      <c r="I50" s="76">
        <f t="shared" si="6"/>
        <v>8.4068905160152472</v>
      </c>
      <c r="J50" s="76">
        <f t="shared" si="1"/>
        <v>-1.7360679774997898</v>
      </c>
      <c r="K50" s="76">
        <f t="shared" si="7"/>
        <v>8.3424583776605825</v>
      </c>
      <c r="L50" s="76">
        <f t="shared" si="8"/>
        <v>-8.4068905160152472</v>
      </c>
      <c r="M50" s="76">
        <f t="shared" si="9"/>
        <v>1.4381054295471336</v>
      </c>
      <c r="N50" s="76">
        <f t="shared" si="10"/>
        <v>3.3672699853459118</v>
      </c>
      <c r="O50" s="76">
        <f t="shared" si="11"/>
        <v>1.4381054295471336</v>
      </c>
      <c r="P50" s="89">
        <f t="shared" si="2"/>
        <v>5.1267568783816566</v>
      </c>
    </row>
    <row r="51" spans="1:16" ht="16.5" x14ac:dyDescent="0.25">
      <c r="A51" s="72">
        <v>45</v>
      </c>
      <c r="B51" s="73" t="str">
        <f>'Capacity Statememnt'!F51</f>
        <v>147+486</v>
      </c>
      <c r="C51" s="73" t="s">
        <v>156</v>
      </c>
      <c r="D51" s="76">
        <f>'Capacity Statememnt'!O51</f>
        <v>3.1619004005166063</v>
      </c>
      <c r="E51" s="76">
        <f t="shared" si="3"/>
        <v>4.7477227978519165</v>
      </c>
      <c r="F51" s="76">
        <f t="shared" si="0"/>
        <v>0.93473187071996167</v>
      </c>
      <c r="G51" s="76">
        <f t="shared" si="4"/>
        <v>0.71854856501537989</v>
      </c>
      <c r="H51" s="76">
        <f t="shared" si="5"/>
        <v>0.94575228090907393</v>
      </c>
      <c r="I51" s="76">
        <f t="shared" si="6"/>
        <v>3.411469403487299</v>
      </c>
      <c r="J51" s="76">
        <f t="shared" si="1"/>
        <v>-1.7360679774997898</v>
      </c>
      <c r="K51" s="76">
        <f t="shared" si="7"/>
        <v>4.7477227978519165</v>
      </c>
      <c r="L51" s="76">
        <f t="shared" si="8"/>
        <v>-3.411469403487299</v>
      </c>
      <c r="M51" s="76" t="e">
        <f t="shared" si="9"/>
        <v>#NUM!</v>
      </c>
      <c r="N51" s="76" t="e">
        <f t="shared" si="10"/>
        <v>#NUM!</v>
      </c>
      <c r="O51" s="76" t="e">
        <f t="shared" si="11"/>
        <v>#NUM!</v>
      </c>
      <c r="P51" s="89" t="e">
        <f t="shared" si="2"/>
        <v>#NUM!</v>
      </c>
    </row>
    <row r="52" spans="1:16" ht="17.25" thickBot="1" x14ac:dyDescent="0.3">
      <c r="A52" s="77">
        <v>46</v>
      </c>
      <c r="B52" s="78" t="str">
        <f>'Capacity Statememnt'!F52</f>
        <v>147+486</v>
      </c>
      <c r="C52" s="78" t="s">
        <v>157</v>
      </c>
      <c r="D52" s="79">
        <f>'Capacity Statememnt'!O52</f>
        <v>3.1619004005166063</v>
      </c>
      <c r="E52" s="79">
        <f t="shared" si="3"/>
        <v>4.7477227978519165</v>
      </c>
      <c r="F52" s="79">
        <f t="shared" si="0"/>
        <v>0.93473187071996167</v>
      </c>
      <c r="G52" s="79">
        <f t="shared" si="4"/>
        <v>0.71854856501537989</v>
      </c>
      <c r="H52" s="79">
        <f t="shared" si="5"/>
        <v>0.94575228090907393</v>
      </c>
      <c r="I52" s="79">
        <f t="shared" si="6"/>
        <v>3.411469403487299</v>
      </c>
      <c r="J52" s="79">
        <f t="shared" si="1"/>
        <v>-1.7360679774997898</v>
      </c>
      <c r="K52" s="79">
        <f t="shared" si="7"/>
        <v>4.7477227978519165</v>
      </c>
      <c r="L52" s="79">
        <f t="shared" si="8"/>
        <v>-3.411469403487299</v>
      </c>
      <c r="M52" s="79" t="e">
        <f t="shared" si="9"/>
        <v>#NUM!</v>
      </c>
      <c r="N52" s="79" t="e">
        <f t="shared" si="10"/>
        <v>#NUM!</v>
      </c>
      <c r="O52" s="79" t="e">
        <f t="shared" si="11"/>
        <v>#NUM!</v>
      </c>
      <c r="P52" s="90" t="e">
        <f t="shared" si="2"/>
        <v>#NUM!</v>
      </c>
    </row>
    <row r="53" spans="1:16" x14ac:dyDescent="0.25">
      <c r="B53" s="70"/>
      <c r="C53" s="70"/>
    </row>
    <row r="54" spans="1:16" x14ac:dyDescent="0.25">
      <c r="B54" s="70"/>
      <c r="C54" s="70"/>
    </row>
    <row r="55" spans="1:16" x14ac:dyDescent="0.25">
      <c r="B55" s="70"/>
      <c r="C55" s="70"/>
    </row>
    <row r="56" spans="1:16" x14ac:dyDescent="0.25">
      <c r="B56" s="70"/>
      <c r="C56" s="70"/>
    </row>
    <row r="57" spans="1:16" x14ac:dyDescent="0.25">
      <c r="B57" s="70"/>
      <c r="C57" s="70"/>
    </row>
    <row r="58" spans="1:16" x14ac:dyDescent="0.25">
      <c r="B58" s="70"/>
      <c r="C58" s="70"/>
    </row>
    <row r="59" spans="1:16" x14ac:dyDescent="0.25">
      <c r="B59" s="70"/>
      <c r="C59" s="70"/>
    </row>
    <row r="60" spans="1:16" x14ac:dyDescent="0.25">
      <c r="B60" s="70"/>
      <c r="C60" s="70"/>
    </row>
    <row r="61" spans="1:16" x14ac:dyDescent="0.25">
      <c r="B61" s="70"/>
      <c r="C61" s="70"/>
    </row>
    <row r="62" spans="1:16" x14ac:dyDescent="0.25">
      <c r="B62" s="70"/>
      <c r="C62" s="70"/>
    </row>
    <row r="63" spans="1:16" x14ac:dyDescent="0.25">
      <c r="B63" s="70"/>
      <c r="C63" s="70"/>
    </row>
    <row r="64" spans="1:16" x14ac:dyDescent="0.25">
      <c r="B64" s="70"/>
      <c r="C64" s="70"/>
    </row>
    <row r="65" spans="2:3" x14ac:dyDescent="0.25">
      <c r="B65" s="70"/>
      <c r="C65" s="70"/>
    </row>
    <row r="66" spans="2:3" x14ac:dyDescent="0.25">
      <c r="B66" s="70"/>
      <c r="C66" s="70"/>
    </row>
    <row r="67" spans="2:3" x14ac:dyDescent="0.25">
      <c r="B67" s="70"/>
      <c r="C67" s="70"/>
    </row>
    <row r="68" spans="2:3" x14ac:dyDescent="0.25">
      <c r="B68" s="70"/>
      <c r="C68" s="70"/>
    </row>
    <row r="69" spans="2:3" x14ac:dyDescent="0.25">
      <c r="B69" s="70"/>
      <c r="C69" s="70"/>
    </row>
    <row r="70" spans="2:3" x14ac:dyDescent="0.25">
      <c r="B70" s="70"/>
      <c r="C70" s="70"/>
    </row>
    <row r="71" spans="2:3" x14ac:dyDescent="0.25">
      <c r="B71" s="70"/>
      <c r="C71" s="70"/>
    </row>
    <row r="72" spans="2:3" x14ac:dyDescent="0.25">
      <c r="B72" s="70"/>
      <c r="C72" s="70"/>
    </row>
    <row r="73" spans="2:3" x14ac:dyDescent="0.25">
      <c r="B73" s="70"/>
      <c r="C73" s="70"/>
    </row>
    <row r="74" spans="2:3" x14ac:dyDescent="0.25">
      <c r="B74" s="70"/>
      <c r="C74" s="70"/>
    </row>
    <row r="75" spans="2:3" x14ac:dyDescent="0.25">
      <c r="B75" s="70"/>
      <c r="C75" s="70"/>
    </row>
    <row r="76" spans="2:3" x14ac:dyDescent="0.25">
      <c r="B76" s="70"/>
      <c r="C76" s="70"/>
    </row>
    <row r="77" spans="2:3" x14ac:dyDescent="0.25">
      <c r="B77" s="70"/>
      <c r="C77" s="70"/>
    </row>
    <row r="78" spans="2:3" x14ac:dyDescent="0.25">
      <c r="B78" s="70"/>
      <c r="C78" s="70"/>
    </row>
    <row r="79" spans="2:3" x14ac:dyDescent="0.25">
      <c r="B79" s="70"/>
      <c r="C79" s="70"/>
    </row>
    <row r="80" spans="2:3" x14ac:dyDescent="0.25">
      <c r="B80" s="70"/>
      <c r="C80" s="70"/>
    </row>
    <row r="81" spans="2:3" x14ac:dyDescent="0.25">
      <c r="B81" s="70"/>
      <c r="C81" s="70"/>
    </row>
    <row r="82" spans="2:3" x14ac:dyDescent="0.25">
      <c r="B82" s="70"/>
      <c r="C82" s="70"/>
    </row>
    <row r="83" spans="2:3" x14ac:dyDescent="0.25">
      <c r="B83" s="70"/>
      <c r="C83" s="70"/>
    </row>
    <row r="84" spans="2:3" x14ac:dyDescent="0.25">
      <c r="B84" s="70"/>
      <c r="C84" s="70"/>
    </row>
    <row r="85" spans="2:3" x14ac:dyDescent="0.25">
      <c r="B85" s="70"/>
      <c r="C85" s="70"/>
    </row>
    <row r="86" spans="2:3" x14ac:dyDescent="0.25">
      <c r="B86" s="70"/>
      <c r="C86" s="70"/>
    </row>
    <row r="87" spans="2:3" x14ac:dyDescent="0.25">
      <c r="B87" s="70"/>
      <c r="C87" s="70"/>
    </row>
    <row r="88" spans="2:3" x14ac:dyDescent="0.25">
      <c r="B88" s="70"/>
      <c r="C88" s="70"/>
    </row>
    <row r="89" spans="2:3" x14ac:dyDescent="0.25">
      <c r="B89" s="70"/>
      <c r="C89" s="70"/>
    </row>
    <row r="90" spans="2:3" x14ac:dyDescent="0.25">
      <c r="B90" s="70"/>
      <c r="C90" s="70"/>
    </row>
    <row r="91" spans="2:3" x14ac:dyDescent="0.25">
      <c r="B91" s="70"/>
      <c r="C91" s="70"/>
    </row>
    <row r="92" spans="2:3" x14ac:dyDescent="0.25">
      <c r="B92" s="70"/>
      <c r="C92" s="70"/>
    </row>
    <row r="93" spans="2:3" x14ac:dyDescent="0.25">
      <c r="B93" s="70"/>
      <c r="C93" s="70"/>
    </row>
    <row r="94" spans="2:3" x14ac:dyDescent="0.25">
      <c r="B94" s="70"/>
      <c r="C94" s="70"/>
    </row>
    <row r="95" spans="2:3" x14ac:dyDescent="0.25">
      <c r="B95" s="70"/>
      <c r="C95" s="70"/>
    </row>
    <row r="96" spans="2:3" x14ac:dyDescent="0.25">
      <c r="B96" s="70"/>
      <c r="C96" s="70"/>
    </row>
    <row r="97" spans="2:3" x14ac:dyDescent="0.25">
      <c r="B97" s="70"/>
      <c r="C97" s="70"/>
    </row>
    <row r="98" spans="2:3" x14ac:dyDescent="0.25">
      <c r="B98" s="70"/>
      <c r="C98" s="70"/>
    </row>
    <row r="99" spans="2:3" x14ac:dyDescent="0.25">
      <c r="B99" s="70"/>
      <c r="C99" s="70"/>
    </row>
    <row r="100" spans="2:3" x14ac:dyDescent="0.25">
      <c r="B100" s="70"/>
      <c r="C100" s="70"/>
    </row>
    <row r="101" spans="2:3" x14ac:dyDescent="0.25">
      <c r="B101" s="70"/>
      <c r="C101" s="70"/>
    </row>
    <row r="102" spans="2:3" x14ac:dyDescent="0.25">
      <c r="B102" s="70"/>
      <c r="C102" s="70"/>
    </row>
    <row r="103" spans="2:3" x14ac:dyDescent="0.25">
      <c r="B103" s="70"/>
      <c r="C103" s="70"/>
    </row>
    <row r="104" spans="2:3" x14ac:dyDescent="0.25">
      <c r="B104" s="70"/>
      <c r="C104" s="70"/>
    </row>
    <row r="105" spans="2:3" x14ac:dyDescent="0.25">
      <c r="B105" s="70"/>
      <c r="C105" s="70"/>
    </row>
    <row r="106" spans="2:3" x14ac:dyDescent="0.25">
      <c r="B106" s="70"/>
      <c r="C106" s="70"/>
    </row>
    <row r="107" spans="2:3" x14ac:dyDescent="0.25">
      <c r="B107" s="70"/>
      <c r="C107" s="70"/>
    </row>
    <row r="108" spans="2:3" x14ac:dyDescent="0.25">
      <c r="B108" s="70"/>
      <c r="C108" s="70"/>
    </row>
    <row r="109" spans="2:3" x14ac:dyDescent="0.25">
      <c r="B109" s="70"/>
      <c r="C109" s="70"/>
    </row>
    <row r="110" spans="2:3" x14ac:dyDescent="0.25">
      <c r="B110" s="70"/>
      <c r="C110" s="70"/>
    </row>
    <row r="111" spans="2:3" x14ac:dyDescent="0.25">
      <c r="B111" s="70"/>
      <c r="C111" s="70"/>
    </row>
    <row r="112" spans="2:3" x14ac:dyDescent="0.25">
      <c r="B112" s="70"/>
      <c r="C112" s="70"/>
    </row>
    <row r="113" spans="2:3" x14ac:dyDescent="0.25">
      <c r="B113" s="70"/>
      <c r="C113" s="70"/>
    </row>
    <row r="114" spans="2:3" x14ac:dyDescent="0.25">
      <c r="B114" s="70"/>
      <c r="C114" s="70"/>
    </row>
    <row r="115" spans="2:3" x14ac:dyDescent="0.25">
      <c r="B115" s="70"/>
      <c r="C115" s="70"/>
    </row>
    <row r="116" spans="2:3" x14ac:dyDescent="0.25">
      <c r="B116" s="70"/>
      <c r="C116" s="70"/>
    </row>
    <row r="117" spans="2:3" x14ac:dyDescent="0.25">
      <c r="B117" s="70"/>
      <c r="C117" s="70"/>
    </row>
    <row r="118" spans="2:3" x14ac:dyDescent="0.25">
      <c r="B118" s="70"/>
      <c r="C118" s="70"/>
    </row>
    <row r="119" spans="2:3" x14ac:dyDescent="0.25">
      <c r="B119" s="70"/>
      <c r="C119" s="70"/>
    </row>
    <row r="120" spans="2:3" x14ac:dyDescent="0.25">
      <c r="B120" s="70"/>
      <c r="C120" s="70"/>
    </row>
    <row r="121" spans="2:3" x14ac:dyDescent="0.25">
      <c r="B121" s="70"/>
      <c r="C121" s="70"/>
    </row>
    <row r="122" spans="2:3" x14ac:dyDescent="0.25">
      <c r="B122" s="70"/>
      <c r="C122" s="70"/>
    </row>
    <row r="123" spans="2:3" x14ac:dyDescent="0.25">
      <c r="B123" s="70"/>
      <c r="C123" s="70"/>
    </row>
    <row r="124" spans="2:3" x14ac:dyDescent="0.25">
      <c r="B124" s="70"/>
      <c r="C124" s="70"/>
    </row>
    <row r="125" spans="2:3" x14ac:dyDescent="0.25">
      <c r="B125" s="70"/>
      <c r="C125" s="70"/>
    </row>
    <row r="126" spans="2:3" x14ac:dyDescent="0.25">
      <c r="B126" s="70"/>
      <c r="C126" s="70"/>
    </row>
    <row r="127" spans="2:3" x14ac:dyDescent="0.25">
      <c r="B127" s="70"/>
      <c r="C127" s="70"/>
    </row>
    <row r="128" spans="2:3" x14ac:dyDescent="0.25">
      <c r="B128" s="70"/>
      <c r="C128" s="70"/>
    </row>
    <row r="129" spans="2:3" x14ac:dyDescent="0.25">
      <c r="B129" s="70"/>
      <c r="C129" s="70"/>
    </row>
    <row r="130" spans="2:3" x14ac:dyDescent="0.25">
      <c r="B130" s="70"/>
      <c r="C130" s="70"/>
    </row>
    <row r="131" spans="2:3" x14ac:dyDescent="0.25">
      <c r="B131" s="70"/>
      <c r="C131" s="70"/>
    </row>
    <row r="132" spans="2:3" x14ac:dyDescent="0.25">
      <c r="B132" s="70"/>
      <c r="C132" s="70"/>
    </row>
    <row r="133" spans="2:3" x14ac:dyDescent="0.25">
      <c r="B133" s="70"/>
      <c r="C133" s="70"/>
    </row>
    <row r="134" spans="2:3" x14ac:dyDescent="0.25">
      <c r="B134" s="70"/>
      <c r="C134" s="70"/>
    </row>
    <row r="135" spans="2:3" x14ac:dyDescent="0.25">
      <c r="B135" s="70"/>
      <c r="C135" s="70"/>
    </row>
    <row r="136" spans="2:3" x14ac:dyDescent="0.25">
      <c r="B136" s="70"/>
      <c r="C136" s="70"/>
    </row>
    <row r="137" spans="2:3" x14ac:dyDescent="0.25">
      <c r="B137" s="70"/>
      <c r="C137" s="70"/>
    </row>
    <row r="138" spans="2:3" x14ac:dyDescent="0.25">
      <c r="B138" s="70"/>
      <c r="C138" s="70"/>
    </row>
    <row r="139" spans="2:3" x14ac:dyDescent="0.25">
      <c r="B139" s="70"/>
      <c r="C139" s="70"/>
    </row>
    <row r="140" spans="2:3" x14ac:dyDescent="0.25">
      <c r="B140" s="70"/>
      <c r="C140" s="70"/>
    </row>
    <row r="141" spans="2:3" x14ac:dyDescent="0.25">
      <c r="B141" s="70"/>
      <c r="C141" s="70"/>
    </row>
    <row r="142" spans="2:3" x14ac:dyDescent="0.25">
      <c r="B142" s="70"/>
      <c r="C142" s="70"/>
    </row>
    <row r="143" spans="2:3" x14ac:dyDescent="0.25">
      <c r="B143" s="70"/>
      <c r="C143" s="70"/>
    </row>
    <row r="144" spans="2:3" x14ac:dyDescent="0.25">
      <c r="B144" s="70"/>
      <c r="C144" s="70"/>
    </row>
    <row r="145" spans="2:3" x14ac:dyDescent="0.25">
      <c r="B145" s="70"/>
      <c r="C145" s="70"/>
    </row>
    <row r="146" spans="2:3" x14ac:dyDescent="0.25">
      <c r="B146" s="70"/>
      <c r="C146" s="70"/>
    </row>
    <row r="147" spans="2:3" x14ac:dyDescent="0.25">
      <c r="B147" s="70"/>
      <c r="C147" s="70"/>
    </row>
    <row r="148" spans="2:3" x14ac:dyDescent="0.25">
      <c r="B148" s="70"/>
      <c r="C148" s="70"/>
    </row>
    <row r="149" spans="2:3" x14ac:dyDescent="0.25">
      <c r="B149" s="70"/>
      <c r="C149" s="70"/>
    </row>
    <row r="150" spans="2:3" x14ac:dyDescent="0.25">
      <c r="B150" s="70"/>
      <c r="C150" s="70"/>
    </row>
    <row r="151" spans="2:3" x14ac:dyDescent="0.25">
      <c r="B151" s="70"/>
      <c r="C151" s="70"/>
    </row>
    <row r="152" spans="2:3" x14ac:dyDescent="0.25">
      <c r="B152" s="70"/>
      <c r="C152" s="70"/>
    </row>
    <row r="153" spans="2:3" x14ac:dyDescent="0.25">
      <c r="B153" s="70"/>
      <c r="C153" s="70"/>
    </row>
    <row r="154" spans="2:3" x14ac:dyDescent="0.25">
      <c r="B154" s="70"/>
      <c r="C154" s="70"/>
    </row>
  </sheetData>
  <mergeCells count="6">
    <mergeCell ref="M5:N5"/>
    <mergeCell ref="A5:A6"/>
    <mergeCell ref="A1:P1"/>
    <mergeCell ref="A2:B2"/>
    <mergeCell ref="A3:B3"/>
    <mergeCell ref="A4:B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>
              <from>
                <xdr:col>16</xdr:col>
                <xdr:colOff>28575</xdr:colOff>
                <xdr:row>15</xdr:row>
                <xdr:rowOff>180975</xdr:rowOff>
              </from>
              <to>
                <xdr:col>23</xdr:col>
                <xdr:colOff>542925</xdr:colOff>
                <xdr:row>18</xdr:row>
                <xdr:rowOff>142875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>
              <from>
                <xdr:col>16</xdr:col>
                <xdr:colOff>19050</xdr:colOff>
                <xdr:row>18</xdr:row>
                <xdr:rowOff>161925</xdr:rowOff>
              </from>
              <to>
                <xdr:col>23</xdr:col>
                <xdr:colOff>561975</xdr:colOff>
                <xdr:row>28</xdr:row>
                <xdr:rowOff>9525</xdr:rowOff>
              </to>
            </anchor>
          </objectPr>
        </oleObject>
      </mc:Choice>
      <mc:Fallback>
        <oleObject progId="Equation.3" shapeId="409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2"/>
  <sheetViews>
    <sheetView zoomScale="90" zoomScaleNormal="90" workbookViewId="0">
      <selection activeCell="N4" sqref="N4"/>
    </sheetView>
  </sheetViews>
  <sheetFormatPr defaultColWidth="6.7109375" defaultRowHeight="15" x14ac:dyDescent="0.25"/>
  <cols>
    <col min="1" max="1" width="6.7109375" style="4"/>
    <col min="2" max="2" width="8.140625" style="4" bestFit="1" customWidth="1"/>
    <col min="3" max="3" width="8.140625" style="4" customWidth="1"/>
    <col min="4" max="4" width="9.140625" style="4" customWidth="1"/>
    <col min="5" max="5" width="15.42578125" style="4" customWidth="1"/>
    <col min="6" max="6" width="11" style="6" customWidth="1"/>
    <col min="7" max="7" width="16.140625" style="4" customWidth="1"/>
    <col min="8" max="8" width="8.5703125" style="4" customWidth="1"/>
    <col min="9" max="9" width="10.7109375" style="4" customWidth="1"/>
    <col min="10" max="10" width="13.5703125" style="4" customWidth="1"/>
    <col min="11" max="11" width="13" style="4" customWidth="1"/>
    <col min="12" max="12" width="17.28515625" style="4" customWidth="1"/>
    <col min="13" max="13" width="15.28515625" style="4" customWidth="1"/>
    <col min="14" max="14" width="11.140625" style="4" customWidth="1"/>
    <col min="15" max="15" width="13.140625" style="4" bestFit="1" customWidth="1"/>
    <col min="16" max="16" width="9.7109375" style="4" customWidth="1"/>
    <col min="17" max="17" width="11.28515625" style="4" customWidth="1"/>
    <col min="18" max="18" width="9.85546875" style="4" customWidth="1"/>
    <col min="19" max="16384" width="6.7109375" style="4"/>
  </cols>
  <sheetData>
    <row r="1" spans="1:18" ht="15.75" customHeight="1" x14ac:dyDescent="0.25">
      <c r="A1" s="164" t="s">
        <v>200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6"/>
    </row>
    <row r="2" spans="1:18" s="54" customFormat="1" ht="42" customHeight="1" x14ac:dyDescent="0.25">
      <c r="A2" s="130" t="s">
        <v>97</v>
      </c>
      <c r="B2" s="140" t="s">
        <v>43</v>
      </c>
      <c r="C2" s="142"/>
      <c r="D2" s="74" t="s">
        <v>208</v>
      </c>
      <c r="E2" s="74" t="s">
        <v>81</v>
      </c>
      <c r="F2" s="101" t="s">
        <v>98</v>
      </c>
      <c r="G2" s="74" t="s">
        <v>82</v>
      </c>
      <c r="H2" s="74" t="s">
        <v>83</v>
      </c>
      <c r="I2" s="74" t="s">
        <v>88</v>
      </c>
      <c r="J2" s="101" t="s">
        <v>253</v>
      </c>
      <c r="K2" s="74" t="s">
        <v>84</v>
      </c>
      <c r="L2" s="74" t="s">
        <v>90</v>
      </c>
      <c r="M2" s="74" t="s">
        <v>85</v>
      </c>
      <c r="N2" s="86" t="s">
        <v>86</v>
      </c>
    </row>
    <row r="3" spans="1:18" ht="15.75" x14ac:dyDescent="0.25">
      <c r="A3" s="130"/>
      <c r="B3" s="67" t="s">
        <v>9</v>
      </c>
      <c r="C3" s="67" t="s">
        <v>80</v>
      </c>
      <c r="D3" s="67" t="s">
        <v>9</v>
      </c>
      <c r="E3" s="67" t="s">
        <v>80</v>
      </c>
      <c r="F3" s="67" t="s">
        <v>80</v>
      </c>
      <c r="G3" s="67" t="s">
        <v>80</v>
      </c>
      <c r="H3" s="67" t="s">
        <v>9</v>
      </c>
      <c r="I3" s="67" t="s">
        <v>80</v>
      </c>
      <c r="J3" s="67" t="s">
        <v>80</v>
      </c>
      <c r="K3" s="67" t="s">
        <v>80</v>
      </c>
      <c r="L3" s="67" t="s">
        <v>80</v>
      </c>
      <c r="M3" s="67" t="s">
        <v>80</v>
      </c>
      <c r="N3" s="69" t="s">
        <v>80</v>
      </c>
      <c r="P3" s="4" t="s">
        <v>87</v>
      </c>
      <c r="Q3" s="4" t="s">
        <v>43</v>
      </c>
      <c r="R3" s="4" t="s">
        <v>89</v>
      </c>
    </row>
    <row r="4" spans="1:18" x14ac:dyDescent="0.25">
      <c r="A4" s="72">
        <f>'Capacity Statememnt'!D7</f>
        <v>1</v>
      </c>
      <c r="B4" s="73" t="str">
        <f>'Capacity Statememnt'!F7</f>
        <v>499+01</v>
      </c>
      <c r="C4" s="73">
        <f>'Capacity Statememnt'!E7</f>
        <v>49901.574999999997</v>
      </c>
      <c r="D4" s="73" t="str">
        <f>'Capacity Statememnt'!H7</f>
        <v>L1</v>
      </c>
      <c r="E4" s="92">
        <f>'Capacity Statememnt'!I7*1000</f>
        <v>6561.6880000000001</v>
      </c>
      <c r="F4" s="93">
        <f>J4-I4</f>
        <v>143.77532479999999</v>
      </c>
      <c r="G4" s="93">
        <f>F4+3/12</f>
        <v>144.02532479999999</v>
      </c>
      <c r="H4" s="98">
        <v>4.0000000000000002E-4</v>
      </c>
      <c r="I4" s="92">
        <f>E4*H4</f>
        <v>2.6246752</v>
      </c>
      <c r="J4" s="92">
        <v>146.4</v>
      </c>
      <c r="K4" s="92">
        <f>J4+1</f>
        <v>147.4</v>
      </c>
      <c r="L4" s="92">
        <f>'Canal Design'!O7</f>
        <v>2.7773857849462948</v>
      </c>
      <c r="M4" s="92">
        <f>K4-L4</f>
        <v>144.62261421505372</v>
      </c>
      <c r="N4" s="94">
        <f>J4</f>
        <v>146.4</v>
      </c>
      <c r="P4" s="100">
        <f>N4</f>
        <v>146.4</v>
      </c>
      <c r="Q4" s="4" t="str">
        <f t="shared" ref="Q4:Q49" si="0">B4</f>
        <v>499+01</v>
      </c>
      <c r="R4" s="100">
        <f>M4</f>
        <v>144.62261421505372</v>
      </c>
    </row>
    <row r="5" spans="1:18" x14ac:dyDescent="0.25">
      <c r="A5" s="72">
        <f>'Capacity Statememnt'!D8</f>
        <v>2</v>
      </c>
      <c r="B5" s="73" t="str">
        <f>'Capacity Statememnt'!F8</f>
        <v>499+01</v>
      </c>
      <c r="C5" s="73">
        <f>'Capacity Statememnt'!E8</f>
        <v>49901.574999999997</v>
      </c>
      <c r="D5" s="73" t="str">
        <f>'Capacity Statememnt'!H8</f>
        <v>R1</v>
      </c>
      <c r="E5" s="92">
        <f>'Capacity Statememnt'!I8*1000</f>
        <v>6561.6880000000001</v>
      </c>
      <c r="F5" s="93">
        <f>J5-I5</f>
        <v>143.77532479999999</v>
      </c>
      <c r="G5" s="93">
        <f t="shared" ref="G5:G49" si="1">F5+3/12</f>
        <v>144.02532479999999</v>
      </c>
      <c r="H5" s="98">
        <v>4.0000000000000002E-4</v>
      </c>
      <c r="I5" s="92">
        <f t="shared" ref="I5:I49" si="2">E5*H5</f>
        <v>2.6246752</v>
      </c>
      <c r="J5" s="92">
        <v>146.4</v>
      </c>
      <c r="K5" s="92">
        <f>J5+1</f>
        <v>147.4</v>
      </c>
      <c r="L5" s="92">
        <f>'Canal Design'!O8</f>
        <v>2.7773857849462948</v>
      </c>
      <c r="M5" s="92">
        <f t="shared" ref="M5:M49" si="3">K5-L5</f>
        <v>144.62261421505372</v>
      </c>
      <c r="N5" s="94">
        <f t="shared" ref="N5:N49" si="4">J5</f>
        <v>146.4</v>
      </c>
      <c r="P5" s="100">
        <f t="shared" ref="P5:P49" si="5">N5</f>
        <v>146.4</v>
      </c>
      <c r="Q5" s="4" t="str">
        <f t="shared" si="0"/>
        <v>499+01</v>
      </c>
      <c r="R5" s="100">
        <f t="shared" ref="R5:R49" si="6">M5</f>
        <v>144.62261421505372</v>
      </c>
    </row>
    <row r="6" spans="1:18" x14ac:dyDescent="0.25">
      <c r="A6" s="72">
        <f>'Capacity Statememnt'!D9</f>
        <v>3</v>
      </c>
      <c r="B6" s="73" t="str">
        <f>'Capacity Statememnt'!F9</f>
        <v>543+37</v>
      </c>
      <c r="C6" s="73">
        <f>'Capacity Statememnt'!E9</f>
        <v>54337.274999999994</v>
      </c>
      <c r="D6" s="73" t="str">
        <f>'Capacity Statememnt'!H9</f>
        <v>L2</v>
      </c>
      <c r="E6" s="92">
        <f>'Capacity Statememnt'!I9*1000</f>
        <v>6561.6880000000001</v>
      </c>
      <c r="F6" s="93">
        <f t="shared" ref="F6:F49" si="7">J6-I6</f>
        <v>143.47532479999998</v>
      </c>
      <c r="G6" s="93">
        <f t="shared" si="1"/>
        <v>143.72532479999998</v>
      </c>
      <c r="H6" s="98">
        <v>4.0000000000000002E-4</v>
      </c>
      <c r="I6" s="92">
        <f t="shared" si="2"/>
        <v>2.6246752</v>
      </c>
      <c r="J6" s="92">
        <v>146.1</v>
      </c>
      <c r="K6" s="92">
        <f>J6+1</f>
        <v>147.1</v>
      </c>
      <c r="L6" s="92">
        <f>'Canal Design'!O9</f>
        <v>2.7404493244607853</v>
      </c>
      <c r="M6" s="92">
        <f t="shared" si="3"/>
        <v>144.3595506755392</v>
      </c>
      <c r="N6" s="94">
        <f t="shared" si="4"/>
        <v>146.1</v>
      </c>
      <c r="P6" s="100">
        <f t="shared" si="5"/>
        <v>146.1</v>
      </c>
      <c r="Q6" s="4" t="str">
        <f t="shared" si="0"/>
        <v>543+37</v>
      </c>
      <c r="R6" s="100">
        <f t="shared" si="6"/>
        <v>144.3595506755392</v>
      </c>
    </row>
    <row r="7" spans="1:18" x14ac:dyDescent="0.25">
      <c r="A7" s="72">
        <f>'Capacity Statememnt'!D10</f>
        <v>4</v>
      </c>
      <c r="B7" s="73" t="str">
        <f>'Capacity Statememnt'!F10</f>
        <v>543+37</v>
      </c>
      <c r="C7" s="73">
        <f>'Capacity Statememnt'!E10</f>
        <v>54337.274999999994</v>
      </c>
      <c r="D7" s="73" t="str">
        <f>'Capacity Statememnt'!H10</f>
        <v>R2</v>
      </c>
      <c r="E7" s="92">
        <f>'Capacity Statememnt'!I10*1000</f>
        <v>6561.6880000000001</v>
      </c>
      <c r="F7" s="93">
        <f t="shared" si="7"/>
        <v>143.47532479999998</v>
      </c>
      <c r="G7" s="93">
        <f t="shared" si="1"/>
        <v>143.72532479999998</v>
      </c>
      <c r="H7" s="98">
        <v>4.0000000000000002E-4</v>
      </c>
      <c r="I7" s="92">
        <f t="shared" si="2"/>
        <v>2.6246752</v>
      </c>
      <c r="J7" s="92">
        <v>146.1</v>
      </c>
      <c r="K7" s="92">
        <f t="shared" ref="K7:K49" si="8">J7+1</f>
        <v>147.1</v>
      </c>
      <c r="L7" s="92">
        <f>'Canal Design'!O10</f>
        <v>2.7404493244607853</v>
      </c>
      <c r="M7" s="92">
        <f t="shared" si="3"/>
        <v>144.3595506755392</v>
      </c>
      <c r="N7" s="94">
        <f t="shared" si="4"/>
        <v>146.1</v>
      </c>
      <c r="P7" s="100">
        <f t="shared" si="5"/>
        <v>146.1</v>
      </c>
      <c r="Q7" s="4" t="str">
        <f t="shared" si="0"/>
        <v>543+37</v>
      </c>
      <c r="R7" s="100">
        <f t="shared" si="6"/>
        <v>144.3595506755392</v>
      </c>
    </row>
    <row r="8" spans="1:18" x14ac:dyDescent="0.25">
      <c r="A8" s="72">
        <f>'Capacity Statememnt'!D11</f>
        <v>5</v>
      </c>
      <c r="B8" s="73" t="str">
        <f>'Capacity Statememnt'!F11</f>
        <v>587+72</v>
      </c>
      <c r="C8" s="73">
        <f>'Capacity Statememnt'!E11</f>
        <v>58772.974999999999</v>
      </c>
      <c r="D8" s="73" t="str">
        <f>'Capacity Statememnt'!H11</f>
        <v>L3</v>
      </c>
      <c r="E8" s="92">
        <f>'Capacity Statememnt'!I11*1000</f>
        <v>6561.6880000000001</v>
      </c>
      <c r="F8" s="93">
        <f t="shared" si="7"/>
        <v>143.27532479999999</v>
      </c>
      <c r="G8" s="93">
        <f t="shared" si="1"/>
        <v>143.52532479999999</v>
      </c>
      <c r="H8" s="98">
        <v>4.0000000000000002E-4</v>
      </c>
      <c r="I8" s="92">
        <f t="shared" si="2"/>
        <v>2.6246752</v>
      </c>
      <c r="J8" s="92">
        <v>145.9</v>
      </c>
      <c r="K8" s="92">
        <f t="shared" si="8"/>
        <v>146.9</v>
      </c>
      <c r="L8" s="92">
        <f>'Canal Design'!O11</f>
        <v>2.7024621964169988</v>
      </c>
      <c r="M8" s="92">
        <f t="shared" si="3"/>
        <v>144.197537803583</v>
      </c>
      <c r="N8" s="94">
        <f t="shared" si="4"/>
        <v>145.9</v>
      </c>
      <c r="P8" s="100">
        <f t="shared" si="5"/>
        <v>145.9</v>
      </c>
      <c r="Q8" s="4" t="str">
        <f t="shared" si="0"/>
        <v>587+72</v>
      </c>
      <c r="R8" s="100">
        <f t="shared" si="6"/>
        <v>144.197537803583</v>
      </c>
    </row>
    <row r="9" spans="1:18" x14ac:dyDescent="0.25">
      <c r="A9" s="72">
        <f>'Capacity Statememnt'!D12</f>
        <v>6</v>
      </c>
      <c r="B9" s="73" t="str">
        <f>'Capacity Statememnt'!F12</f>
        <v>587+72</v>
      </c>
      <c r="C9" s="73">
        <f>'Capacity Statememnt'!E12</f>
        <v>58772.974999999999</v>
      </c>
      <c r="D9" s="73" t="str">
        <f>'Capacity Statememnt'!H12</f>
        <v>R3</v>
      </c>
      <c r="E9" s="92">
        <f>'Capacity Statememnt'!I12*1000</f>
        <v>6561.6880000000001</v>
      </c>
      <c r="F9" s="93">
        <f t="shared" si="7"/>
        <v>143.27532479999999</v>
      </c>
      <c r="G9" s="93">
        <f t="shared" si="1"/>
        <v>143.52532479999999</v>
      </c>
      <c r="H9" s="98">
        <v>4.0000000000000002E-4</v>
      </c>
      <c r="I9" s="92">
        <f t="shared" si="2"/>
        <v>2.6246752</v>
      </c>
      <c r="J9" s="92">
        <v>145.9</v>
      </c>
      <c r="K9" s="92">
        <f t="shared" si="8"/>
        <v>146.9</v>
      </c>
      <c r="L9" s="92">
        <f>'Canal Design'!O12</f>
        <v>2.7024621964169988</v>
      </c>
      <c r="M9" s="92">
        <f t="shared" si="3"/>
        <v>144.197537803583</v>
      </c>
      <c r="N9" s="94">
        <f t="shared" si="4"/>
        <v>145.9</v>
      </c>
      <c r="P9" s="100">
        <f t="shared" si="5"/>
        <v>145.9</v>
      </c>
      <c r="Q9" s="4" t="str">
        <f t="shared" si="0"/>
        <v>587+72</v>
      </c>
      <c r="R9" s="100">
        <f t="shared" si="6"/>
        <v>144.197537803583</v>
      </c>
    </row>
    <row r="10" spans="1:18" x14ac:dyDescent="0.25">
      <c r="A10" s="72">
        <f>'Capacity Statememnt'!D13</f>
        <v>7</v>
      </c>
      <c r="B10" s="73" t="str">
        <f>'Capacity Statememnt'!F13</f>
        <v>632+08</v>
      </c>
      <c r="C10" s="73">
        <f>'Capacity Statememnt'!E13</f>
        <v>63208.674999999996</v>
      </c>
      <c r="D10" s="73" t="str">
        <f>'Capacity Statememnt'!H13</f>
        <v>L4</v>
      </c>
      <c r="E10" s="92">
        <f>'Capacity Statememnt'!I13*1000</f>
        <v>6561.6880000000001</v>
      </c>
      <c r="F10" s="93">
        <f>J10-I10</f>
        <v>143.07532479999998</v>
      </c>
      <c r="G10" s="93">
        <f t="shared" si="1"/>
        <v>143.32532479999998</v>
      </c>
      <c r="H10" s="98">
        <v>4.0000000000000002E-4</v>
      </c>
      <c r="I10" s="92">
        <f t="shared" si="2"/>
        <v>2.6246752</v>
      </c>
      <c r="J10" s="92">
        <v>145.69999999999999</v>
      </c>
      <c r="K10" s="92">
        <f t="shared" si="8"/>
        <v>146.69999999999999</v>
      </c>
      <c r="L10" s="92">
        <f>'Canal Design'!O13</f>
        <v>2.6633396780243266</v>
      </c>
      <c r="M10" s="92">
        <f t="shared" si="3"/>
        <v>144.03666032197566</v>
      </c>
      <c r="N10" s="94">
        <f t="shared" si="4"/>
        <v>145.69999999999999</v>
      </c>
      <c r="P10" s="100">
        <f t="shared" si="5"/>
        <v>145.69999999999999</v>
      </c>
      <c r="Q10" s="4" t="str">
        <f t="shared" si="0"/>
        <v>632+08</v>
      </c>
      <c r="R10" s="100">
        <f t="shared" si="6"/>
        <v>144.03666032197566</v>
      </c>
    </row>
    <row r="11" spans="1:18" x14ac:dyDescent="0.25">
      <c r="A11" s="72">
        <f>'Capacity Statememnt'!D14</f>
        <v>8</v>
      </c>
      <c r="B11" s="73" t="str">
        <f>'Capacity Statememnt'!F14</f>
        <v>632+08</v>
      </c>
      <c r="C11" s="73">
        <f>'Capacity Statememnt'!E14</f>
        <v>63208.674999999996</v>
      </c>
      <c r="D11" s="73" t="str">
        <f>'Capacity Statememnt'!H14</f>
        <v>R4</v>
      </c>
      <c r="E11" s="92">
        <f>'Capacity Statememnt'!I14*1000</f>
        <v>6561.6880000000001</v>
      </c>
      <c r="F11" s="93">
        <f t="shared" si="7"/>
        <v>143.07532479999998</v>
      </c>
      <c r="G11" s="93">
        <f t="shared" si="1"/>
        <v>143.32532479999998</v>
      </c>
      <c r="H11" s="98">
        <v>4.0000000000000002E-4</v>
      </c>
      <c r="I11" s="92">
        <f t="shared" si="2"/>
        <v>2.6246752</v>
      </c>
      <c r="J11" s="92">
        <v>145.69999999999999</v>
      </c>
      <c r="K11" s="92">
        <f t="shared" si="8"/>
        <v>146.69999999999999</v>
      </c>
      <c r="L11" s="92">
        <f>'Canal Design'!O14</f>
        <v>2.6633396780243266</v>
      </c>
      <c r="M11" s="92">
        <f t="shared" si="3"/>
        <v>144.03666032197566</v>
      </c>
      <c r="N11" s="94">
        <f t="shared" si="4"/>
        <v>145.69999999999999</v>
      </c>
      <c r="P11" s="100">
        <f t="shared" si="5"/>
        <v>145.69999999999999</v>
      </c>
      <c r="Q11" s="4" t="str">
        <f t="shared" si="0"/>
        <v>632+08</v>
      </c>
      <c r="R11" s="100">
        <f t="shared" si="6"/>
        <v>144.03666032197566</v>
      </c>
    </row>
    <row r="12" spans="1:18" x14ac:dyDescent="0.25">
      <c r="A12" s="72">
        <f>'Capacity Statememnt'!D15</f>
        <v>9</v>
      </c>
      <c r="B12" s="73" t="str">
        <f>'Capacity Statememnt'!F15</f>
        <v>676+44</v>
      </c>
      <c r="C12" s="73">
        <f>'Capacity Statememnt'!E15</f>
        <v>67644.375</v>
      </c>
      <c r="D12" s="73" t="str">
        <f>'Capacity Statememnt'!H15</f>
        <v>L5</v>
      </c>
      <c r="E12" s="92">
        <f>'Capacity Statememnt'!I15*1000</f>
        <v>6561.6880000000001</v>
      </c>
      <c r="F12" s="93">
        <f t="shared" si="7"/>
        <v>142.87532479999999</v>
      </c>
      <c r="G12" s="93">
        <f t="shared" si="1"/>
        <v>143.12532479999999</v>
      </c>
      <c r="H12" s="98">
        <v>4.0000000000000002E-4</v>
      </c>
      <c r="I12" s="92">
        <f t="shared" si="2"/>
        <v>2.6246752</v>
      </c>
      <c r="J12" s="92">
        <v>145.5</v>
      </c>
      <c r="K12" s="92">
        <f t="shared" si="8"/>
        <v>146.5</v>
      </c>
      <c r="L12" s="92">
        <f>'Canal Design'!O15</f>
        <v>2.6229854948350835</v>
      </c>
      <c r="M12" s="92">
        <f t="shared" si="3"/>
        <v>143.87701450516491</v>
      </c>
      <c r="N12" s="94">
        <f t="shared" si="4"/>
        <v>145.5</v>
      </c>
      <c r="P12" s="100">
        <f t="shared" si="5"/>
        <v>145.5</v>
      </c>
      <c r="Q12" s="4" t="str">
        <f t="shared" si="0"/>
        <v>676+44</v>
      </c>
      <c r="R12" s="100">
        <f t="shared" si="6"/>
        <v>143.87701450516491</v>
      </c>
    </row>
    <row r="13" spans="1:18" x14ac:dyDescent="0.25">
      <c r="A13" s="72">
        <f>'Capacity Statememnt'!D16</f>
        <v>10</v>
      </c>
      <c r="B13" s="73" t="str">
        <f>'Capacity Statememnt'!F16</f>
        <v>676+44</v>
      </c>
      <c r="C13" s="73">
        <f>'Capacity Statememnt'!E16</f>
        <v>67644.375</v>
      </c>
      <c r="D13" s="73" t="str">
        <f>'Capacity Statememnt'!H16</f>
        <v>R5</v>
      </c>
      <c r="E13" s="92">
        <f>'Capacity Statememnt'!I16*1000</f>
        <v>6561.6880000000001</v>
      </c>
      <c r="F13" s="93">
        <f t="shared" si="7"/>
        <v>142.87532479999999</v>
      </c>
      <c r="G13" s="93">
        <f t="shared" si="1"/>
        <v>143.12532479999999</v>
      </c>
      <c r="H13" s="98">
        <v>4.0000000000000002E-4</v>
      </c>
      <c r="I13" s="92">
        <f t="shared" si="2"/>
        <v>2.6246752</v>
      </c>
      <c r="J13" s="92">
        <v>145.5</v>
      </c>
      <c r="K13" s="92">
        <f t="shared" si="8"/>
        <v>146.5</v>
      </c>
      <c r="L13" s="92">
        <f>'Canal Design'!O16</f>
        <v>2.6229854948350835</v>
      </c>
      <c r="M13" s="92">
        <f t="shared" si="3"/>
        <v>143.87701450516491</v>
      </c>
      <c r="N13" s="94">
        <f t="shared" si="4"/>
        <v>145.5</v>
      </c>
      <c r="P13" s="100">
        <f t="shared" si="5"/>
        <v>145.5</v>
      </c>
      <c r="Q13" s="4" t="str">
        <f t="shared" si="0"/>
        <v>676+44</v>
      </c>
      <c r="R13" s="100">
        <f t="shared" si="6"/>
        <v>143.87701450516491</v>
      </c>
    </row>
    <row r="14" spans="1:18" x14ac:dyDescent="0.25">
      <c r="A14" s="72">
        <f>'Capacity Statememnt'!D17</f>
        <v>11</v>
      </c>
      <c r="B14" s="73" t="str">
        <f>'Capacity Statememnt'!F17</f>
        <v>720+80</v>
      </c>
      <c r="C14" s="73">
        <f>'Capacity Statememnt'!E17</f>
        <v>72080.074999999997</v>
      </c>
      <c r="D14" s="73" t="str">
        <f>'Capacity Statememnt'!H17</f>
        <v>L6</v>
      </c>
      <c r="E14" s="92">
        <f>'Capacity Statememnt'!I17*1000</f>
        <v>6561.6880000000001</v>
      </c>
      <c r="F14" s="93">
        <f t="shared" si="7"/>
        <v>142.77532479999999</v>
      </c>
      <c r="G14" s="93">
        <f t="shared" si="1"/>
        <v>143.02532479999999</v>
      </c>
      <c r="H14" s="98">
        <v>4.0000000000000002E-4</v>
      </c>
      <c r="I14" s="92">
        <f t="shared" si="2"/>
        <v>2.6246752</v>
      </c>
      <c r="J14" s="92">
        <v>145.4</v>
      </c>
      <c r="K14" s="92">
        <f t="shared" si="8"/>
        <v>146.4</v>
      </c>
      <c r="L14" s="92">
        <f>'Canal Design'!O17</f>
        <v>2.5812895400536866</v>
      </c>
      <c r="M14" s="92">
        <f t="shared" si="3"/>
        <v>143.81871045994632</v>
      </c>
      <c r="N14" s="94">
        <f t="shared" si="4"/>
        <v>145.4</v>
      </c>
      <c r="P14" s="100">
        <f t="shared" si="5"/>
        <v>145.4</v>
      </c>
      <c r="Q14" s="4" t="str">
        <f t="shared" si="0"/>
        <v>720+80</v>
      </c>
      <c r="R14" s="100">
        <f t="shared" si="6"/>
        <v>143.81871045994632</v>
      </c>
    </row>
    <row r="15" spans="1:18" x14ac:dyDescent="0.25">
      <c r="A15" s="72">
        <f>'Capacity Statememnt'!D18</f>
        <v>12</v>
      </c>
      <c r="B15" s="73" t="str">
        <f>'Capacity Statememnt'!F18</f>
        <v>720+80</v>
      </c>
      <c r="C15" s="73">
        <f>'Capacity Statememnt'!E18</f>
        <v>72080.074999999997</v>
      </c>
      <c r="D15" s="73" t="str">
        <f>'Capacity Statememnt'!H18</f>
        <v>R6</v>
      </c>
      <c r="E15" s="92">
        <f>'Capacity Statememnt'!I18*1000</f>
        <v>6561.6880000000001</v>
      </c>
      <c r="F15" s="93">
        <f t="shared" si="7"/>
        <v>142.77532479999999</v>
      </c>
      <c r="G15" s="93">
        <f t="shared" si="1"/>
        <v>143.02532479999999</v>
      </c>
      <c r="H15" s="98">
        <v>4.0000000000000002E-4</v>
      </c>
      <c r="I15" s="92">
        <f t="shared" si="2"/>
        <v>2.6246752</v>
      </c>
      <c r="J15" s="92">
        <v>145.4</v>
      </c>
      <c r="K15" s="92">
        <f t="shared" si="8"/>
        <v>146.4</v>
      </c>
      <c r="L15" s="92">
        <f>'Canal Design'!O18</f>
        <v>2.5812895400536866</v>
      </c>
      <c r="M15" s="92">
        <f t="shared" si="3"/>
        <v>143.81871045994632</v>
      </c>
      <c r="N15" s="94">
        <f t="shared" si="4"/>
        <v>145.4</v>
      </c>
      <c r="P15" s="100">
        <f t="shared" si="5"/>
        <v>145.4</v>
      </c>
      <c r="Q15" s="4" t="str">
        <f t="shared" si="0"/>
        <v>720+80</v>
      </c>
      <c r="R15" s="100">
        <f t="shared" si="6"/>
        <v>143.81871045994632</v>
      </c>
    </row>
    <row r="16" spans="1:18" x14ac:dyDescent="0.25">
      <c r="A16" s="72">
        <f>'Capacity Statememnt'!D19</f>
        <v>13</v>
      </c>
      <c r="B16" s="73" t="str">
        <f>'Capacity Statememnt'!F19</f>
        <v>765+15</v>
      </c>
      <c r="C16" s="73">
        <f>'Capacity Statememnt'!E19</f>
        <v>76515.774999999994</v>
      </c>
      <c r="D16" s="73" t="str">
        <f>'Capacity Statememnt'!H19</f>
        <v>L7</v>
      </c>
      <c r="E16" s="92">
        <f>'Capacity Statememnt'!I19*1000</f>
        <v>6561.6880000000001</v>
      </c>
      <c r="F16" s="93">
        <f t="shared" si="7"/>
        <v>142.57532479999998</v>
      </c>
      <c r="G16" s="93">
        <f t="shared" si="1"/>
        <v>142.82532479999998</v>
      </c>
      <c r="H16" s="98">
        <v>4.0000000000000002E-4</v>
      </c>
      <c r="I16" s="92">
        <f t="shared" si="2"/>
        <v>2.6246752</v>
      </c>
      <c r="J16" s="92">
        <v>145.19999999999999</v>
      </c>
      <c r="K16" s="92">
        <f t="shared" si="8"/>
        <v>146.19999999999999</v>
      </c>
      <c r="L16" s="92">
        <f>'Canal Design'!O19</f>
        <v>2.5381249894692441</v>
      </c>
      <c r="M16" s="92">
        <f t="shared" si="3"/>
        <v>143.66187501053074</v>
      </c>
      <c r="N16" s="94">
        <f t="shared" si="4"/>
        <v>145.19999999999999</v>
      </c>
      <c r="P16" s="100">
        <f t="shared" si="5"/>
        <v>145.19999999999999</v>
      </c>
      <c r="Q16" s="4" t="str">
        <f t="shared" si="0"/>
        <v>765+15</v>
      </c>
      <c r="R16" s="100">
        <f t="shared" si="6"/>
        <v>143.66187501053074</v>
      </c>
    </row>
    <row r="17" spans="1:18" x14ac:dyDescent="0.25">
      <c r="A17" s="72">
        <f>'Capacity Statememnt'!D20</f>
        <v>14</v>
      </c>
      <c r="B17" s="73" t="str">
        <f>'Capacity Statememnt'!F20</f>
        <v>765+15</v>
      </c>
      <c r="C17" s="73">
        <f>'Capacity Statememnt'!E20</f>
        <v>76515.774999999994</v>
      </c>
      <c r="D17" s="73" t="str">
        <f>'Capacity Statememnt'!H20</f>
        <v>R7</v>
      </c>
      <c r="E17" s="92">
        <f>'Capacity Statememnt'!I20*1000</f>
        <v>6561.6880000000001</v>
      </c>
      <c r="F17" s="93">
        <f t="shared" si="7"/>
        <v>142.57532479999998</v>
      </c>
      <c r="G17" s="93">
        <f t="shared" si="1"/>
        <v>142.82532479999998</v>
      </c>
      <c r="H17" s="98">
        <v>4.0000000000000002E-4</v>
      </c>
      <c r="I17" s="92">
        <f t="shared" si="2"/>
        <v>2.6246752</v>
      </c>
      <c r="J17" s="92">
        <v>145.19999999999999</v>
      </c>
      <c r="K17" s="92">
        <f t="shared" si="8"/>
        <v>146.19999999999999</v>
      </c>
      <c r="L17" s="92">
        <f>'Canal Design'!O20</f>
        <v>2.5381249894692441</v>
      </c>
      <c r="M17" s="92">
        <f t="shared" si="3"/>
        <v>143.66187501053074</v>
      </c>
      <c r="N17" s="94">
        <f t="shared" si="4"/>
        <v>145.19999999999999</v>
      </c>
      <c r="P17" s="100">
        <f t="shared" si="5"/>
        <v>145.19999999999999</v>
      </c>
      <c r="Q17" s="4" t="str">
        <f t="shared" si="0"/>
        <v>765+15</v>
      </c>
      <c r="R17" s="100">
        <f t="shared" si="6"/>
        <v>143.66187501053074</v>
      </c>
    </row>
    <row r="18" spans="1:18" x14ac:dyDescent="0.25">
      <c r="A18" s="72">
        <f>'Capacity Statememnt'!D21</f>
        <v>15</v>
      </c>
      <c r="B18" s="73" t="str">
        <f>'Capacity Statememnt'!F21</f>
        <v>809+51</v>
      </c>
      <c r="C18" s="73">
        <f>'Capacity Statememnt'!E21</f>
        <v>80951.475000000006</v>
      </c>
      <c r="D18" s="73" t="str">
        <f>'Capacity Statememnt'!H21</f>
        <v>L8</v>
      </c>
      <c r="E18" s="92">
        <f>'Capacity Statememnt'!I21*1000</f>
        <v>6561.6880000000001</v>
      </c>
      <c r="F18" s="93">
        <f t="shared" si="7"/>
        <v>142.27532479999999</v>
      </c>
      <c r="G18" s="93">
        <f t="shared" si="1"/>
        <v>142.52532479999999</v>
      </c>
      <c r="H18" s="98">
        <v>4.0000000000000002E-4</v>
      </c>
      <c r="I18" s="92">
        <f t="shared" si="2"/>
        <v>2.6246752</v>
      </c>
      <c r="J18" s="92">
        <v>144.9</v>
      </c>
      <c r="K18" s="92">
        <f t="shared" si="8"/>
        <v>145.9</v>
      </c>
      <c r="L18" s="92">
        <f>'Canal Design'!O21</f>
        <v>2.49334460644216</v>
      </c>
      <c r="M18" s="92">
        <f t="shared" si="3"/>
        <v>143.40665539355786</v>
      </c>
      <c r="N18" s="94">
        <f t="shared" si="4"/>
        <v>144.9</v>
      </c>
      <c r="P18" s="100">
        <f t="shared" si="5"/>
        <v>144.9</v>
      </c>
      <c r="Q18" s="4" t="str">
        <f t="shared" si="0"/>
        <v>809+51</v>
      </c>
      <c r="R18" s="100">
        <f t="shared" si="6"/>
        <v>143.40665539355786</v>
      </c>
    </row>
    <row r="19" spans="1:18" x14ac:dyDescent="0.25">
      <c r="A19" s="72">
        <f>'Capacity Statememnt'!D22</f>
        <v>16</v>
      </c>
      <c r="B19" s="73" t="str">
        <f>'Capacity Statememnt'!F22</f>
        <v>809+51</v>
      </c>
      <c r="C19" s="73">
        <f>'Capacity Statememnt'!E22</f>
        <v>80951.475000000006</v>
      </c>
      <c r="D19" s="73" t="str">
        <f>'Capacity Statememnt'!H22</f>
        <v>R8</v>
      </c>
      <c r="E19" s="92">
        <f>'Capacity Statememnt'!I22*1000</f>
        <v>6561.6880000000001</v>
      </c>
      <c r="F19" s="93">
        <f t="shared" si="7"/>
        <v>142.27532479999999</v>
      </c>
      <c r="G19" s="93">
        <f t="shared" si="1"/>
        <v>142.52532479999999</v>
      </c>
      <c r="H19" s="98">
        <v>4.0000000000000002E-4</v>
      </c>
      <c r="I19" s="92">
        <f t="shared" si="2"/>
        <v>2.6246752</v>
      </c>
      <c r="J19" s="92">
        <v>144.9</v>
      </c>
      <c r="K19" s="92">
        <f t="shared" si="8"/>
        <v>145.9</v>
      </c>
      <c r="L19" s="92">
        <f>'Canal Design'!O22</f>
        <v>2.49334460644216</v>
      </c>
      <c r="M19" s="92">
        <f t="shared" si="3"/>
        <v>143.40665539355786</v>
      </c>
      <c r="N19" s="94">
        <f t="shared" si="4"/>
        <v>144.9</v>
      </c>
      <c r="P19" s="100">
        <f t="shared" si="5"/>
        <v>144.9</v>
      </c>
      <c r="Q19" s="4" t="str">
        <f t="shared" si="0"/>
        <v>809+51</v>
      </c>
      <c r="R19" s="100">
        <f t="shared" si="6"/>
        <v>143.40665539355786</v>
      </c>
    </row>
    <row r="20" spans="1:18" x14ac:dyDescent="0.25">
      <c r="A20" s="72">
        <f>'Capacity Statememnt'!D23</f>
        <v>17</v>
      </c>
      <c r="B20" s="73" t="str">
        <f>'Capacity Statememnt'!F23</f>
        <v>853+87</v>
      </c>
      <c r="C20" s="73">
        <f>'Capacity Statememnt'!E23</f>
        <v>85387.174999999988</v>
      </c>
      <c r="D20" s="73" t="str">
        <f>'Capacity Statememnt'!H23</f>
        <v>L9</v>
      </c>
      <c r="E20" s="92">
        <f>'Capacity Statememnt'!I23*1000</f>
        <v>6561.6880000000001</v>
      </c>
      <c r="F20" s="93">
        <f t="shared" si="7"/>
        <v>141.97532479999998</v>
      </c>
      <c r="G20" s="93">
        <f t="shared" si="1"/>
        <v>142.22532479999998</v>
      </c>
      <c r="H20" s="98">
        <v>4.0000000000000002E-4</v>
      </c>
      <c r="I20" s="92">
        <f t="shared" si="2"/>
        <v>2.6246752</v>
      </c>
      <c r="J20" s="92">
        <v>144.6</v>
      </c>
      <c r="K20" s="92">
        <f t="shared" si="8"/>
        <v>145.6</v>
      </c>
      <c r="L20" s="92">
        <f>'Canal Design'!O23</f>
        <v>2.4467759441972565</v>
      </c>
      <c r="M20" s="92">
        <f t="shared" si="3"/>
        <v>143.15322405580272</v>
      </c>
      <c r="N20" s="94">
        <f t="shared" si="4"/>
        <v>144.6</v>
      </c>
      <c r="P20" s="100">
        <f t="shared" si="5"/>
        <v>144.6</v>
      </c>
      <c r="Q20" s="4" t="str">
        <f t="shared" si="0"/>
        <v>853+87</v>
      </c>
      <c r="R20" s="100">
        <f t="shared" si="6"/>
        <v>143.15322405580272</v>
      </c>
    </row>
    <row r="21" spans="1:18" x14ac:dyDescent="0.25">
      <c r="A21" s="72">
        <f>'Capacity Statememnt'!D24</f>
        <v>18</v>
      </c>
      <c r="B21" s="73" t="str">
        <f>'Capacity Statememnt'!F24</f>
        <v>853+87</v>
      </c>
      <c r="C21" s="73">
        <f>'Capacity Statememnt'!E24</f>
        <v>85387.174999999988</v>
      </c>
      <c r="D21" s="73" t="str">
        <f>'Capacity Statememnt'!H24</f>
        <v>R9</v>
      </c>
      <c r="E21" s="92">
        <f>'Capacity Statememnt'!I24*1000</f>
        <v>6561.6880000000001</v>
      </c>
      <c r="F21" s="93">
        <f t="shared" si="7"/>
        <v>141.97532479999998</v>
      </c>
      <c r="G21" s="93">
        <f t="shared" si="1"/>
        <v>142.22532479999998</v>
      </c>
      <c r="H21" s="98">
        <v>4.0000000000000002E-4</v>
      </c>
      <c r="I21" s="92">
        <f t="shared" si="2"/>
        <v>2.6246752</v>
      </c>
      <c r="J21" s="92">
        <v>144.6</v>
      </c>
      <c r="K21" s="92">
        <f t="shared" si="8"/>
        <v>145.6</v>
      </c>
      <c r="L21" s="92">
        <f>'Canal Design'!O24</f>
        <v>2.4467759441972565</v>
      </c>
      <c r="M21" s="92">
        <f t="shared" si="3"/>
        <v>143.15322405580272</v>
      </c>
      <c r="N21" s="94">
        <f t="shared" si="4"/>
        <v>144.6</v>
      </c>
      <c r="P21" s="100">
        <f t="shared" si="5"/>
        <v>144.6</v>
      </c>
      <c r="Q21" s="4" t="str">
        <f t="shared" si="0"/>
        <v>853+87</v>
      </c>
      <c r="R21" s="100">
        <f t="shared" si="6"/>
        <v>143.15322405580272</v>
      </c>
    </row>
    <row r="22" spans="1:18" x14ac:dyDescent="0.25">
      <c r="A22" s="72">
        <f>'Capacity Statememnt'!D25</f>
        <v>19</v>
      </c>
      <c r="B22" s="73" t="str">
        <f>'Capacity Statememnt'!F25</f>
        <v>898+22</v>
      </c>
      <c r="C22" s="73">
        <f>'Capacity Statememnt'!E25</f>
        <v>89822.875</v>
      </c>
      <c r="D22" s="73" t="str">
        <f>'Capacity Statememnt'!H25</f>
        <v>L10</v>
      </c>
      <c r="E22" s="92">
        <f>'Capacity Statememnt'!I25*1000</f>
        <v>6561.6880000000001</v>
      </c>
      <c r="F22" s="93">
        <f t="shared" si="7"/>
        <v>141.77532479999999</v>
      </c>
      <c r="G22" s="93">
        <f t="shared" si="1"/>
        <v>142.02532479999999</v>
      </c>
      <c r="H22" s="98">
        <v>4.0000000000000002E-4</v>
      </c>
      <c r="I22" s="92">
        <f t="shared" si="2"/>
        <v>2.6246752</v>
      </c>
      <c r="J22" s="92">
        <v>144.4</v>
      </c>
      <c r="K22" s="92">
        <f t="shared" si="8"/>
        <v>145.4</v>
      </c>
      <c r="L22" s="92">
        <f>'Canal Design'!O25</f>
        <v>2.3982150203194497</v>
      </c>
      <c r="M22" s="92">
        <f t="shared" si="3"/>
        <v>143.00178497968056</v>
      </c>
      <c r="N22" s="94">
        <f t="shared" si="4"/>
        <v>144.4</v>
      </c>
      <c r="P22" s="100">
        <f t="shared" si="5"/>
        <v>144.4</v>
      </c>
      <c r="Q22" s="4" t="str">
        <f t="shared" si="0"/>
        <v>898+22</v>
      </c>
      <c r="R22" s="100">
        <f t="shared" si="6"/>
        <v>143.00178497968056</v>
      </c>
    </row>
    <row r="23" spans="1:18" x14ac:dyDescent="0.25">
      <c r="A23" s="72">
        <f>'Capacity Statememnt'!D26</f>
        <v>20</v>
      </c>
      <c r="B23" s="73" t="str">
        <f>'Capacity Statememnt'!F26</f>
        <v>898+22</v>
      </c>
      <c r="C23" s="73">
        <f>'Capacity Statememnt'!E26</f>
        <v>89822.875</v>
      </c>
      <c r="D23" s="73" t="str">
        <f>'Capacity Statememnt'!H26</f>
        <v>R10</v>
      </c>
      <c r="E23" s="92">
        <f>'Capacity Statememnt'!I26*1000</f>
        <v>6561.6880000000001</v>
      </c>
      <c r="F23" s="93">
        <f t="shared" si="7"/>
        <v>141.77532479999999</v>
      </c>
      <c r="G23" s="93">
        <f t="shared" si="1"/>
        <v>142.02532479999999</v>
      </c>
      <c r="H23" s="98">
        <v>4.0000000000000002E-4</v>
      </c>
      <c r="I23" s="92">
        <f t="shared" si="2"/>
        <v>2.6246752</v>
      </c>
      <c r="J23" s="92">
        <v>144.4</v>
      </c>
      <c r="K23" s="92">
        <f t="shared" si="8"/>
        <v>145.4</v>
      </c>
      <c r="L23" s="92">
        <f>'Canal Design'!O26</f>
        <v>2.3982150203194497</v>
      </c>
      <c r="M23" s="92">
        <f t="shared" si="3"/>
        <v>143.00178497968056</v>
      </c>
      <c r="N23" s="94">
        <f t="shared" si="4"/>
        <v>144.4</v>
      </c>
      <c r="P23" s="100">
        <f t="shared" si="5"/>
        <v>144.4</v>
      </c>
      <c r="Q23" s="4" t="str">
        <f t="shared" si="0"/>
        <v>898+22</v>
      </c>
      <c r="R23" s="100">
        <f t="shared" si="6"/>
        <v>143.00178497968056</v>
      </c>
    </row>
    <row r="24" spans="1:18" x14ac:dyDescent="0.25">
      <c r="A24" s="72">
        <f>'Capacity Statememnt'!D27</f>
        <v>21</v>
      </c>
      <c r="B24" s="73" t="str">
        <f>'Capacity Statememnt'!F27</f>
        <v>942+58</v>
      </c>
      <c r="C24" s="73">
        <f>'Capacity Statememnt'!E27</f>
        <v>94258.574999999997</v>
      </c>
      <c r="D24" s="73" t="str">
        <f>'Capacity Statememnt'!H27</f>
        <v>L11</v>
      </c>
      <c r="E24" s="92">
        <f>'Capacity Statememnt'!I27*1000</f>
        <v>6561.6880000000001</v>
      </c>
      <c r="F24" s="93">
        <f t="shared" si="7"/>
        <v>141.37532479999999</v>
      </c>
      <c r="G24" s="93">
        <f t="shared" si="1"/>
        <v>141.62532479999999</v>
      </c>
      <c r="H24" s="98">
        <v>4.0000000000000002E-4</v>
      </c>
      <c r="I24" s="92">
        <f t="shared" si="2"/>
        <v>2.6246752</v>
      </c>
      <c r="J24" s="92">
        <v>144</v>
      </c>
      <c r="K24" s="92">
        <f t="shared" si="8"/>
        <v>145</v>
      </c>
      <c r="L24" s="92">
        <f>'Canal Design'!O27</f>
        <v>2.3474178326172699</v>
      </c>
      <c r="M24" s="92">
        <f t="shared" si="3"/>
        <v>142.65258216738272</v>
      </c>
      <c r="N24" s="94">
        <f t="shared" si="4"/>
        <v>144</v>
      </c>
      <c r="P24" s="100">
        <f t="shared" si="5"/>
        <v>144</v>
      </c>
      <c r="Q24" s="4" t="str">
        <f t="shared" si="0"/>
        <v>942+58</v>
      </c>
      <c r="R24" s="100">
        <f t="shared" si="6"/>
        <v>142.65258216738272</v>
      </c>
    </row>
    <row r="25" spans="1:18" x14ac:dyDescent="0.25">
      <c r="A25" s="72">
        <f>'Capacity Statememnt'!D28</f>
        <v>22</v>
      </c>
      <c r="B25" s="73" t="str">
        <f>'Capacity Statememnt'!F28</f>
        <v>942+58</v>
      </c>
      <c r="C25" s="73">
        <f>'Capacity Statememnt'!E28</f>
        <v>94258.574999999997</v>
      </c>
      <c r="D25" s="73" t="str">
        <f>'Capacity Statememnt'!H28</f>
        <v>R11</v>
      </c>
      <c r="E25" s="92">
        <f>'Capacity Statememnt'!I28*1000</f>
        <v>6561.6880000000001</v>
      </c>
      <c r="F25" s="93">
        <f t="shared" si="7"/>
        <v>141.37532479999999</v>
      </c>
      <c r="G25" s="93">
        <f t="shared" si="1"/>
        <v>141.62532479999999</v>
      </c>
      <c r="H25" s="98">
        <v>4.0000000000000002E-4</v>
      </c>
      <c r="I25" s="92">
        <f t="shared" si="2"/>
        <v>2.6246752</v>
      </c>
      <c r="J25" s="92">
        <v>144</v>
      </c>
      <c r="K25" s="92">
        <f t="shared" si="8"/>
        <v>145</v>
      </c>
      <c r="L25" s="92">
        <f>'Canal Design'!O28</f>
        <v>2.3474178326172699</v>
      </c>
      <c r="M25" s="92">
        <f t="shared" si="3"/>
        <v>142.65258216738272</v>
      </c>
      <c r="N25" s="94">
        <f t="shared" si="4"/>
        <v>144</v>
      </c>
      <c r="P25" s="100">
        <f t="shared" si="5"/>
        <v>144</v>
      </c>
      <c r="Q25" s="4" t="str">
        <f t="shared" si="0"/>
        <v>942+58</v>
      </c>
      <c r="R25" s="100">
        <f t="shared" si="6"/>
        <v>142.65258216738272</v>
      </c>
    </row>
    <row r="26" spans="1:18" x14ac:dyDescent="0.25">
      <c r="A26" s="72">
        <f>'Capacity Statememnt'!D29</f>
        <v>23</v>
      </c>
      <c r="B26" s="73" t="str">
        <f>'Capacity Statememnt'!F29</f>
        <v>986+94</v>
      </c>
      <c r="C26" s="73">
        <f>'Capacity Statememnt'!E29</f>
        <v>98694.274999999994</v>
      </c>
      <c r="D26" s="73" t="str">
        <f>'Capacity Statememnt'!H29</f>
        <v>L12</v>
      </c>
      <c r="E26" s="92">
        <f>'Capacity Statememnt'!I29*1000</f>
        <v>6561.6880000000001</v>
      </c>
      <c r="F26" s="93">
        <f t="shared" si="7"/>
        <v>141.07532479999998</v>
      </c>
      <c r="G26" s="93">
        <f t="shared" si="1"/>
        <v>141.32532479999998</v>
      </c>
      <c r="H26" s="98">
        <v>4.0000000000000002E-4</v>
      </c>
      <c r="I26" s="92">
        <f t="shared" si="2"/>
        <v>2.6246752</v>
      </c>
      <c r="J26" s="92">
        <v>143.69999999999999</v>
      </c>
      <c r="K26" s="92">
        <f t="shared" si="8"/>
        <v>144.69999999999999</v>
      </c>
      <c r="L26" s="92">
        <f>'Canal Design'!O29</f>
        <v>2.2940887572694142</v>
      </c>
      <c r="M26" s="92">
        <f t="shared" si="3"/>
        <v>142.40591124273058</v>
      </c>
      <c r="N26" s="94">
        <f t="shared" si="4"/>
        <v>143.69999999999999</v>
      </c>
      <c r="P26" s="100">
        <f t="shared" si="5"/>
        <v>143.69999999999999</v>
      </c>
      <c r="Q26" s="4" t="str">
        <f t="shared" si="0"/>
        <v>986+94</v>
      </c>
      <c r="R26" s="100">
        <f t="shared" si="6"/>
        <v>142.40591124273058</v>
      </c>
    </row>
    <row r="27" spans="1:18" x14ac:dyDescent="0.25">
      <c r="A27" s="72">
        <f>'Capacity Statememnt'!D30</f>
        <v>24</v>
      </c>
      <c r="B27" s="73" t="str">
        <f>'Capacity Statememnt'!F30</f>
        <v>986+94</v>
      </c>
      <c r="C27" s="73">
        <f>'Capacity Statememnt'!E30</f>
        <v>98694.274999999994</v>
      </c>
      <c r="D27" s="73" t="str">
        <f>'Capacity Statememnt'!H30</f>
        <v>R12</v>
      </c>
      <c r="E27" s="92">
        <f>'Capacity Statememnt'!I30*1000</f>
        <v>6561.6880000000001</v>
      </c>
      <c r="F27" s="93">
        <f t="shared" si="7"/>
        <v>141.07532479999998</v>
      </c>
      <c r="G27" s="93">
        <f t="shared" si="1"/>
        <v>141.32532479999998</v>
      </c>
      <c r="H27" s="98">
        <v>4.0000000000000002E-4</v>
      </c>
      <c r="I27" s="92">
        <f t="shared" si="2"/>
        <v>2.6246752</v>
      </c>
      <c r="J27" s="92">
        <v>143.69999999999999</v>
      </c>
      <c r="K27" s="92">
        <f t="shared" si="8"/>
        <v>144.69999999999999</v>
      </c>
      <c r="L27" s="92">
        <f>'Canal Design'!O30</f>
        <v>2.2940887572694142</v>
      </c>
      <c r="M27" s="92">
        <f t="shared" si="3"/>
        <v>142.40591124273058</v>
      </c>
      <c r="N27" s="94">
        <f t="shared" si="4"/>
        <v>143.69999999999999</v>
      </c>
      <c r="P27" s="100">
        <f t="shared" si="5"/>
        <v>143.69999999999999</v>
      </c>
      <c r="Q27" s="4" t="str">
        <f t="shared" si="0"/>
        <v>986+94</v>
      </c>
      <c r="R27" s="100">
        <f t="shared" si="6"/>
        <v>142.40591124273058</v>
      </c>
    </row>
    <row r="28" spans="1:18" x14ac:dyDescent="0.25">
      <c r="A28" s="72">
        <f>'Capacity Statememnt'!D31</f>
        <v>25</v>
      </c>
      <c r="B28" s="73" t="str">
        <f>'Capacity Statememnt'!F31</f>
        <v>103+129</v>
      </c>
      <c r="C28" s="73">
        <f>'Capacity Statememnt'!E31</f>
        <v>103129.97500000001</v>
      </c>
      <c r="D28" s="73" t="str">
        <f>'Capacity Statememnt'!H31</f>
        <v>L13</v>
      </c>
      <c r="E28" s="92">
        <f>'Capacity Statememnt'!I31*1000</f>
        <v>6561.6880000000001</v>
      </c>
      <c r="F28" s="93">
        <f t="shared" si="7"/>
        <v>140.77532479999999</v>
      </c>
      <c r="G28" s="93">
        <f t="shared" si="1"/>
        <v>141.02532479999999</v>
      </c>
      <c r="H28" s="98">
        <v>4.0000000000000002E-4</v>
      </c>
      <c r="I28" s="92">
        <f t="shared" si="2"/>
        <v>2.6246752</v>
      </c>
      <c r="J28" s="92">
        <v>143.4</v>
      </c>
      <c r="K28" s="92">
        <f t="shared" si="8"/>
        <v>144.4</v>
      </c>
      <c r="L28" s="92">
        <f>'Canal Design'!O31</f>
        <v>2.2378643309540891</v>
      </c>
      <c r="M28" s="92">
        <f t="shared" si="3"/>
        <v>142.16213566904591</v>
      </c>
      <c r="N28" s="94">
        <f t="shared" si="4"/>
        <v>143.4</v>
      </c>
      <c r="P28" s="100">
        <f t="shared" si="5"/>
        <v>143.4</v>
      </c>
      <c r="Q28" s="4" t="str">
        <f t="shared" si="0"/>
        <v>103+129</v>
      </c>
      <c r="R28" s="100">
        <f t="shared" si="6"/>
        <v>142.16213566904591</v>
      </c>
    </row>
    <row r="29" spans="1:18" x14ac:dyDescent="0.25">
      <c r="A29" s="72">
        <f>'Capacity Statememnt'!D32</f>
        <v>26</v>
      </c>
      <c r="B29" s="73" t="str">
        <f>'Capacity Statememnt'!F32</f>
        <v>103+129</v>
      </c>
      <c r="C29" s="73">
        <f>'Capacity Statememnt'!E32</f>
        <v>103129.97500000001</v>
      </c>
      <c r="D29" s="73" t="str">
        <f>'Capacity Statememnt'!H32</f>
        <v>R13</v>
      </c>
      <c r="E29" s="92">
        <f>'Capacity Statememnt'!I32*1000</f>
        <v>6561.6880000000001</v>
      </c>
      <c r="F29" s="93">
        <f t="shared" si="7"/>
        <v>140.77532479999999</v>
      </c>
      <c r="G29" s="93">
        <f t="shared" si="1"/>
        <v>141.02532479999999</v>
      </c>
      <c r="H29" s="98">
        <v>4.0000000000000002E-4</v>
      </c>
      <c r="I29" s="92">
        <f t="shared" si="2"/>
        <v>2.6246752</v>
      </c>
      <c r="J29" s="92">
        <v>143.4</v>
      </c>
      <c r="K29" s="92">
        <f t="shared" si="8"/>
        <v>144.4</v>
      </c>
      <c r="L29" s="92">
        <f>'Canal Design'!O32</f>
        <v>2.2378643309540891</v>
      </c>
      <c r="M29" s="92">
        <f t="shared" si="3"/>
        <v>142.16213566904591</v>
      </c>
      <c r="N29" s="94">
        <f t="shared" si="4"/>
        <v>143.4</v>
      </c>
      <c r="P29" s="100">
        <f t="shared" si="5"/>
        <v>143.4</v>
      </c>
      <c r="Q29" s="4" t="str">
        <f t="shared" si="0"/>
        <v>103+129</v>
      </c>
      <c r="R29" s="100">
        <f t="shared" si="6"/>
        <v>142.16213566904591</v>
      </c>
    </row>
    <row r="30" spans="1:18" x14ac:dyDescent="0.25">
      <c r="A30" s="72">
        <f>'Capacity Statememnt'!D33</f>
        <v>27</v>
      </c>
      <c r="B30" s="73" t="str">
        <f>'Capacity Statememnt'!F33</f>
        <v>107+565</v>
      </c>
      <c r="C30" s="73">
        <f>'Capacity Statememnt'!E33</f>
        <v>107565.67499999999</v>
      </c>
      <c r="D30" s="73" t="str">
        <f>'Capacity Statememnt'!H33</f>
        <v>L14</v>
      </c>
      <c r="E30" s="92">
        <f>'Capacity Statememnt'!I33*1000</f>
        <v>6561.6880000000001</v>
      </c>
      <c r="F30" s="93">
        <f t="shared" si="7"/>
        <v>140.47532479999998</v>
      </c>
      <c r="G30" s="93">
        <f t="shared" si="1"/>
        <v>140.72532479999998</v>
      </c>
      <c r="H30" s="98">
        <v>4.0000000000000002E-4</v>
      </c>
      <c r="I30" s="92">
        <f t="shared" si="2"/>
        <v>2.6246752</v>
      </c>
      <c r="J30" s="92">
        <v>143.1</v>
      </c>
      <c r="K30" s="92">
        <f t="shared" si="8"/>
        <v>144.1</v>
      </c>
      <c r="L30" s="92">
        <f>'Canal Design'!O33</f>
        <v>2.1782900036691792</v>
      </c>
      <c r="M30" s="92">
        <f t="shared" si="3"/>
        <v>141.9217099963308</v>
      </c>
      <c r="N30" s="94">
        <f t="shared" si="4"/>
        <v>143.1</v>
      </c>
      <c r="P30" s="100">
        <f t="shared" si="5"/>
        <v>143.1</v>
      </c>
      <c r="Q30" s="4" t="str">
        <f t="shared" si="0"/>
        <v>107+565</v>
      </c>
      <c r="R30" s="100">
        <f t="shared" si="6"/>
        <v>141.9217099963308</v>
      </c>
    </row>
    <row r="31" spans="1:18" x14ac:dyDescent="0.25">
      <c r="A31" s="72">
        <f>'Capacity Statememnt'!D34</f>
        <v>28</v>
      </c>
      <c r="B31" s="73" t="str">
        <f>'Capacity Statememnt'!F34</f>
        <v>107+565</v>
      </c>
      <c r="C31" s="73">
        <f>'Capacity Statememnt'!E34</f>
        <v>107565.67499999999</v>
      </c>
      <c r="D31" s="73" t="str">
        <f>'Capacity Statememnt'!H34</f>
        <v>R14</v>
      </c>
      <c r="E31" s="92">
        <f>'Capacity Statememnt'!I34*1000</f>
        <v>6561.6880000000001</v>
      </c>
      <c r="F31" s="93">
        <f t="shared" si="7"/>
        <v>140.47532479999998</v>
      </c>
      <c r="G31" s="93">
        <f t="shared" si="1"/>
        <v>140.72532479999998</v>
      </c>
      <c r="H31" s="98">
        <v>4.0000000000000002E-4</v>
      </c>
      <c r="I31" s="92">
        <f t="shared" si="2"/>
        <v>2.6246752</v>
      </c>
      <c r="J31" s="92">
        <v>143.1</v>
      </c>
      <c r="K31" s="92">
        <f t="shared" si="8"/>
        <v>144.1</v>
      </c>
      <c r="L31" s="92">
        <f>'Canal Design'!O34</f>
        <v>2.1782900036691792</v>
      </c>
      <c r="M31" s="92">
        <f t="shared" si="3"/>
        <v>141.9217099963308</v>
      </c>
      <c r="N31" s="94">
        <f t="shared" si="4"/>
        <v>143.1</v>
      </c>
      <c r="P31" s="100">
        <f t="shared" si="5"/>
        <v>143.1</v>
      </c>
      <c r="Q31" s="4" t="str">
        <f t="shared" si="0"/>
        <v>107+565</v>
      </c>
      <c r="R31" s="100">
        <f t="shared" si="6"/>
        <v>141.9217099963308</v>
      </c>
    </row>
    <row r="32" spans="1:18" x14ac:dyDescent="0.25">
      <c r="A32" s="72">
        <f>'Capacity Statememnt'!D35</f>
        <v>29</v>
      </c>
      <c r="B32" s="73" t="str">
        <f>'Capacity Statememnt'!F35</f>
        <v>112+001</v>
      </c>
      <c r="C32" s="73">
        <f>'Capacity Statememnt'!E35</f>
        <v>112001.375</v>
      </c>
      <c r="D32" s="73" t="str">
        <f>'Capacity Statememnt'!H35</f>
        <v>L15</v>
      </c>
      <c r="E32" s="92">
        <f>'Capacity Statememnt'!I35*1000</f>
        <v>6561.6880000000001</v>
      </c>
      <c r="F32" s="93">
        <f t="shared" si="7"/>
        <v>140.1753248</v>
      </c>
      <c r="G32" s="93">
        <f t="shared" si="1"/>
        <v>140.4253248</v>
      </c>
      <c r="H32" s="98">
        <v>4.0000000000000002E-4</v>
      </c>
      <c r="I32" s="92">
        <f t="shared" si="2"/>
        <v>2.6246752</v>
      </c>
      <c r="J32" s="92">
        <v>142.80000000000001</v>
      </c>
      <c r="K32" s="92">
        <f t="shared" si="8"/>
        <v>143.80000000000001</v>
      </c>
      <c r="L32" s="92">
        <f>'Canal Design'!O35</f>
        <v>2.1147858393730674</v>
      </c>
      <c r="M32" s="92">
        <f t="shared" si="3"/>
        <v>141.68521416062694</v>
      </c>
      <c r="N32" s="94">
        <f t="shared" si="4"/>
        <v>142.80000000000001</v>
      </c>
      <c r="P32" s="100">
        <f t="shared" si="5"/>
        <v>142.80000000000001</v>
      </c>
      <c r="Q32" s="4" t="str">
        <f t="shared" si="0"/>
        <v>112+001</v>
      </c>
      <c r="R32" s="100">
        <f t="shared" si="6"/>
        <v>141.68521416062694</v>
      </c>
    </row>
    <row r="33" spans="1:18" x14ac:dyDescent="0.25">
      <c r="A33" s="72">
        <f>'Capacity Statememnt'!D36</f>
        <v>30</v>
      </c>
      <c r="B33" s="73" t="str">
        <f>'Capacity Statememnt'!F36</f>
        <v>112+001</v>
      </c>
      <c r="C33" s="73">
        <f>'Capacity Statememnt'!E36</f>
        <v>112001.375</v>
      </c>
      <c r="D33" s="73" t="str">
        <f>'Capacity Statememnt'!H36</f>
        <v>R15</v>
      </c>
      <c r="E33" s="92">
        <f>'Capacity Statememnt'!I36*1000</f>
        <v>6561.6880000000001</v>
      </c>
      <c r="F33" s="93">
        <f t="shared" si="7"/>
        <v>140.1753248</v>
      </c>
      <c r="G33" s="93">
        <f t="shared" si="1"/>
        <v>140.4253248</v>
      </c>
      <c r="H33" s="98">
        <v>4.0000000000000002E-4</v>
      </c>
      <c r="I33" s="92">
        <f t="shared" si="2"/>
        <v>2.6246752</v>
      </c>
      <c r="J33" s="92">
        <v>142.80000000000001</v>
      </c>
      <c r="K33" s="92">
        <f t="shared" si="8"/>
        <v>143.80000000000001</v>
      </c>
      <c r="L33" s="92">
        <f>'Canal Design'!O36</f>
        <v>2.1147858393730674</v>
      </c>
      <c r="M33" s="92">
        <f t="shared" si="3"/>
        <v>141.68521416062694</v>
      </c>
      <c r="N33" s="94">
        <f t="shared" si="4"/>
        <v>142.80000000000001</v>
      </c>
      <c r="P33" s="100">
        <f t="shared" si="5"/>
        <v>142.80000000000001</v>
      </c>
      <c r="Q33" s="4" t="str">
        <f t="shared" si="0"/>
        <v>112+001</v>
      </c>
      <c r="R33" s="100">
        <f t="shared" si="6"/>
        <v>141.68521416062694</v>
      </c>
    </row>
    <row r="34" spans="1:18" x14ac:dyDescent="0.25">
      <c r="A34" s="72">
        <f>'Capacity Statememnt'!D37</f>
        <v>31</v>
      </c>
      <c r="B34" s="73" t="str">
        <f>'Capacity Statememnt'!F37</f>
        <v>116+437</v>
      </c>
      <c r="C34" s="73">
        <f>'Capacity Statememnt'!E37</f>
        <v>116437.075</v>
      </c>
      <c r="D34" s="73" t="str">
        <f>'Capacity Statememnt'!H37</f>
        <v>L16</v>
      </c>
      <c r="E34" s="92">
        <f>'Capacity Statememnt'!I37*1000</f>
        <v>6561.6880000000001</v>
      </c>
      <c r="F34" s="93">
        <f t="shared" si="7"/>
        <v>139.87532479999999</v>
      </c>
      <c r="G34" s="93">
        <f t="shared" si="1"/>
        <v>140.12532479999999</v>
      </c>
      <c r="H34" s="98">
        <v>4.0000000000000002E-4</v>
      </c>
      <c r="I34" s="92">
        <f t="shared" si="2"/>
        <v>2.6246752</v>
      </c>
      <c r="J34" s="92">
        <v>142.5</v>
      </c>
      <c r="K34" s="92">
        <f t="shared" si="8"/>
        <v>143.5</v>
      </c>
      <c r="L34" s="92">
        <f>'Canal Design'!O37</f>
        <v>2.046594196691859</v>
      </c>
      <c r="M34" s="92">
        <f t="shared" si="3"/>
        <v>141.45340580330813</v>
      </c>
      <c r="N34" s="94">
        <f t="shared" si="4"/>
        <v>142.5</v>
      </c>
      <c r="P34" s="100">
        <f t="shared" si="5"/>
        <v>142.5</v>
      </c>
      <c r="Q34" s="4" t="str">
        <f t="shared" si="0"/>
        <v>116+437</v>
      </c>
      <c r="R34" s="100">
        <f t="shared" si="6"/>
        <v>141.45340580330813</v>
      </c>
    </row>
    <row r="35" spans="1:18" x14ac:dyDescent="0.25">
      <c r="A35" s="72">
        <f>'Capacity Statememnt'!D38</f>
        <v>32</v>
      </c>
      <c r="B35" s="73" t="str">
        <f>'Capacity Statememnt'!F38</f>
        <v>116+437</v>
      </c>
      <c r="C35" s="73">
        <f>'Capacity Statememnt'!E38</f>
        <v>116437.075</v>
      </c>
      <c r="D35" s="73" t="str">
        <f>'Capacity Statememnt'!H38</f>
        <v>R16</v>
      </c>
      <c r="E35" s="92">
        <f>'Capacity Statememnt'!I38*1000</f>
        <v>6561.6880000000001</v>
      </c>
      <c r="F35" s="93">
        <f t="shared" si="7"/>
        <v>139.87532479999999</v>
      </c>
      <c r="G35" s="93">
        <f t="shared" si="1"/>
        <v>140.12532479999999</v>
      </c>
      <c r="H35" s="98">
        <v>4.0000000000000002E-4</v>
      </c>
      <c r="I35" s="92">
        <f t="shared" si="2"/>
        <v>2.6246752</v>
      </c>
      <c r="J35" s="92">
        <v>142.5</v>
      </c>
      <c r="K35" s="92">
        <f t="shared" si="8"/>
        <v>143.5</v>
      </c>
      <c r="L35" s="92">
        <f>'Canal Design'!O38</f>
        <v>2.046594196691859</v>
      </c>
      <c r="M35" s="92">
        <f t="shared" si="3"/>
        <v>141.45340580330813</v>
      </c>
      <c r="N35" s="94">
        <f t="shared" si="4"/>
        <v>142.5</v>
      </c>
      <c r="P35" s="100">
        <f t="shared" si="5"/>
        <v>142.5</v>
      </c>
      <c r="Q35" s="4" t="str">
        <f t="shared" si="0"/>
        <v>116+437</v>
      </c>
      <c r="R35" s="100">
        <f t="shared" si="6"/>
        <v>141.45340580330813</v>
      </c>
    </row>
    <row r="36" spans="1:18" x14ac:dyDescent="0.25">
      <c r="A36" s="72">
        <f>'Capacity Statememnt'!D39</f>
        <v>33</v>
      </c>
      <c r="B36" s="73" t="str">
        <f>'Capacity Statememnt'!F39</f>
        <v>120+872</v>
      </c>
      <c r="C36" s="73">
        <f>'Capacity Statememnt'!E39</f>
        <v>120872.77499999999</v>
      </c>
      <c r="D36" s="73" t="str">
        <f>'Capacity Statememnt'!H39</f>
        <v>L17</v>
      </c>
      <c r="E36" s="92">
        <f>'Capacity Statememnt'!I39*1000</f>
        <v>6561.6880000000001</v>
      </c>
      <c r="F36" s="93">
        <f t="shared" si="7"/>
        <v>139.6753248</v>
      </c>
      <c r="G36" s="93">
        <f t="shared" si="1"/>
        <v>139.9253248</v>
      </c>
      <c r="H36" s="98">
        <v>4.0000000000000002E-4</v>
      </c>
      <c r="I36" s="92">
        <f t="shared" si="2"/>
        <v>2.6246752</v>
      </c>
      <c r="J36" s="92">
        <v>142.30000000000001</v>
      </c>
      <c r="K36" s="92">
        <f t="shared" si="8"/>
        <v>143.30000000000001</v>
      </c>
      <c r="L36" s="92">
        <f>'Canal Design'!O39</f>
        <v>1.9726968098764182</v>
      </c>
      <c r="M36" s="92">
        <f t="shared" si="3"/>
        <v>141.32730319012359</v>
      </c>
      <c r="N36" s="94">
        <f t="shared" si="4"/>
        <v>142.30000000000001</v>
      </c>
      <c r="P36" s="100">
        <f t="shared" si="5"/>
        <v>142.30000000000001</v>
      </c>
      <c r="Q36" s="4" t="str">
        <f t="shared" si="0"/>
        <v>120+872</v>
      </c>
      <c r="R36" s="100">
        <f t="shared" si="6"/>
        <v>141.32730319012359</v>
      </c>
    </row>
    <row r="37" spans="1:18" x14ac:dyDescent="0.25">
      <c r="A37" s="72">
        <f>'Capacity Statememnt'!D40</f>
        <v>34</v>
      </c>
      <c r="B37" s="73" t="str">
        <f>'Capacity Statememnt'!F40</f>
        <v>120+872</v>
      </c>
      <c r="C37" s="73">
        <f>'Capacity Statememnt'!E40</f>
        <v>120872.77499999999</v>
      </c>
      <c r="D37" s="73" t="str">
        <f>'Capacity Statememnt'!H40</f>
        <v>R17</v>
      </c>
      <c r="E37" s="92">
        <f>'Capacity Statememnt'!I40*1000</f>
        <v>6561.6880000000001</v>
      </c>
      <c r="F37" s="93">
        <f t="shared" si="7"/>
        <v>139.6753248</v>
      </c>
      <c r="G37" s="93">
        <f t="shared" si="1"/>
        <v>139.9253248</v>
      </c>
      <c r="H37" s="98">
        <v>4.0000000000000002E-4</v>
      </c>
      <c r="I37" s="92">
        <f t="shared" si="2"/>
        <v>2.6246752</v>
      </c>
      <c r="J37" s="92">
        <v>142.30000000000001</v>
      </c>
      <c r="K37" s="92">
        <f t="shared" si="8"/>
        <v>143.30000000000001</v>
      </c>
      <c r="L37" s="92">
        <f>'Canal Design'!O40</f>
        <v>1.9726968098764182</v>
      </c>
      <c r="M37" s="92">
        <f t="shared" si="3"/>
        <v>141.32730319012359</v>
      </c>
      <c r="N37" s="94">
        <f t="shared" si="4"/>
        <v>142.30000000000001</v>
      </c>
      <c r="P37" s="100">
        <f t="shared" si="5"/>
        <v>142.30000000000001</v>
      </c>
      <c r="Q37" s="4" t="str">
        <f t="shared" si="0"/>
        <v>120+872</v>
      </c>
      <c r="R37" s="100">
        <f t="shared" si="6"/>
        <v>141.32730319012359</v>
      </c>
    </row>
    <row r="38" spans="1:18" x14ac:dyDescent="0.25">
      <c r="A38" s="72">
        <f>'Capacity Statememnt'!D41</f>
        <v>35</v>
      </c>
      <c r="B38" s="73" t="str">
        <f>'Capacity Statememnt'!F41</f>
        <v>125+308</v>
      </c>
      <c r="C38" s="73">
        <f>'Capacity Statememnt'!E41</f>
        <v>125308.47499999999</v>
      </c>
      <c r="D38" s="73" t="str">
        <f>'Capacity Statememnt'!H41</f>
        <v>L18</v>
      </c>
      <c r="E38" s="92">
        <f>'Capacity Statememnt'!I41*1000</f>
        <v>6561.6880000000001</v>
      </c>
      <c r="F38" s="93">
        <f t="shared" si="7"/>
        <v>139.27532479999999</v>
      </c>
      <c r="G38" s="93">
        <f t="shared" si="1"/>
        <v>139.52532479999999</v>
      </c>
      <c r="H38" s="98">
        <v>4.0000000000000002E-4</v>
      </c>
      <c r="I38" s="92">
        <f t="shared" si="2"/>
        <v>2.6246752</v>
      </c>
      <c r="J38" s="92">
        <v>141.9</v>
      </c>
      <c r="K38" s="92">
        <f t="shared" si="8"/>
        <v>142.9</v>
      </c>
      <c r="L38" s="92">
        <f>'Canal Design'!O41</f>
        <v>1.8916776106917617</v>
      </c>
      <c r="M38" s="92">
        <f t="shared" si="3"/>
        <v>141.00832238930823</v>
      </c>
      <c r="N38" s="94">
        <f t="shared" si="4"/>
        <v>141.9</v>
      </c>
      <c r="P38" s="100">
        <f t="shared" si="5"/>
        <v>141.9</v>
      </c>
      <c r="Q38" s="4" t="str">
        <f t="shared" si="0"/>
        <v>125+308</v>
      </c>
      <c r="R38" s="100">
        <f t="shared" si="6"/>
        <v>141.00832238930823</v>
      </c>
    </row>
    <row r="39" spans="1:18" x14ac:dyDescent="0.25">
      <c r="A39" s="72">
        <f>'Capacity Statememnt'!D42</f>
        <v>36</v>
      </c>
      <c r="B39" s="73" t="str">
        <f>'Capacity Statememnt'!F42</f>
        <v>125+308</v>
      </c>
      <c r="C39" s="73">
        <f>'Capacity Statememnt'!E42</f>
        <v>125308.47499999999</v>
      </c>
      <c r="D39" s="73" t="str">
        <f>'Capacity Statememnt'!H42</f>
        <v>R18</v>
      </c>
      <c r="E39" s="92">
        <f>'Capacity Statememnt'!I42*1000</f>
        <v>6561.6880000000001</v>
      </c>
      <c r="F39" s="93">
        <f t="shared" si="7"/>
        <v>139.27532479999999</v>
      </c>
      <c r="G39" s="93">
        <f t="shared" si="1"/>
        <v>139.52532479999999</v>
      </c>
      <c r="H39" s="98">
        <v>4.0000000000000002E-4</v>
      </c>
      <c r="I39" s="92">
        <f t="shared" si="2"/>
        <v>2.6246752</v>
      </c>
      <c r="J39" s="92">
        <v>141.9</v>
      </c>
      <c r="K39" s="92">
        <f t="shared" si="8"/>
        <v>142.9</v>
      </c>
      <c r="L39" s="92">
        <f>'Canal Design'!O42</f>
        <v>1.8916776106917617</v>
      </c>
      <c r="M39" s="92">
        <f t="shared" si="3"/>
        <v>141.00832238930823</v>
      </c>
      <c r="N39" s="94">
        <f t="shared" si="4"/>
        <v>141.9</v>
      </c>
      <c r="P39" s="100">
        <f t="shared" si="5"/>
        <v>141.9</v>
      </c>
      <c r="Q39" s="4" t="str">
        <f t="shared" si="0"/>
        <v>125+308</v>
      </c>
      <c r="R39" s="100">
        <f t="shared" si="6"/>
        <v>141.00832238930823</v>
      </c>
    </row>
    <row r="40" spans="1:18" x14ac:dyDescent="0.25">
      <c r="A40" s="72">
        <f>'Capacity Statememnt'!D43</f>
        <v>37</v>
      </c>
      <c r="B40" s="73" t="str">
        <f>'Capacity Statememnt'!F43</f>
        <v>129+744</v>
      </c>
      <c r="C40" s="73">
        <f>'Capacity Statememnt'!E43</f>
        <v>129744.175</v>
      </c>
      <c r="D40" s="73" t="str">
        <f>'Capacity Statememnt'!H43</f>
        <v>L19</v>
      </c>
      <c r="E40" s="92">
        <f>'Capacity Statememnt'!I43*1000</f>
        <v>6561.6880000000001</v>
      </c>
      <c r="F40" s="93">
        <f t="shared" si="7"/>
        <v>139.1753248</v>
      </c>
      <c r="G40" s="93">
        <f t="shared" si="1"/>
        <v>139.4253248</v>
      </c>
      <c r="H40" s="98">
        <v>4.0000000000000002E-4</v>
      </c>
      <c r="I40" s="92">
        <f t="shared" si="2"/>
        <v>2.6246752</v>
      </c>
      <c r="J40" s="92">
        <v>141.80000000000001</v>
      </c>
      <c r="K40" s="92">
        <f t="shared" si="8"/>
        <v>142.80000000000001</v>
      </c>
      <c r="L40" s="92">
        <f>'Canal Design'!O43</f>
        <v>1.8014856979118485</v>
      </c>
      <c r="M40" s="92">
        <f t="shared" si="3"/>
        <v>140.99851430208815</v>
      </c>
      <c r="N40" s="94">
        <f t="shared" si="4"/>
        <v>141.80000000000001</v>
      </c>
      <c r="P40" s="100">
        <f t="shared" si="5"/>
        <v>141.80000000000001</v>
      </c>
      <c r="Q40" s="4" t="str">
        <f t="shared" si="0"/>
        <v>129+744</v>
      </c>
      <c r="R40" s="100">
        <f t="shared" si="6"/>
        <v>140.99851430208815</v>
      </c>
    </row>
    <row r="41" spans="1:18" x14ac:dyDescent="0.25">
      <c r="A41" s="72">
        <f>'Capacity Statememnt'!D44</f>
        <v>38</v>
      </c>
      <c r="B41" s="73" t="str">
        <f>'Capacity Statememnt'!F44</f>
        <v>129+744</v>
      </c>
      <c r="C41" s="73">
        <f>'Capacity Statememnt'!E44</f>
        <v>129744.175</v>
      </c>
      <c r="D41" s="73" t="str">
        <f>'Capacity Statememnt'!H44</f>
        <v>R19</v>
      </c>
      <c r="E41" s="92">
        <f>'Capacity Statememnt'!I44*1000</f>
        <v>6561.6880000000001</v>
      </c>
      <c r="F41" s="93">
        <f t="shared" si="7"/>
        <v>139.1753248</v>
      </c>
      <c r="G41" s="93">
        <f t="shared" si="1"/>
        <v>139.4253248</v>
      </c>
      <c r="H41" s="98">
        <v>4.0000000000000002E-4</v>
      </c>
      <c r="I41" s="92">
        <f t="shared" si="2"/>
        <v>2.6246752</v>
      </c>
      <c r="J41" s="92">
        <v>141.80000000000001</v>
      </c>
      <c r="K41" s="92">
        <f t="shared" si="8"/>
        <v>142.80000000000001</v>
      </c>
      <c r="L41" s="92">
        <f>'Canal Design'!O44</f>
        <v>1.8014856979118485</v>
      </c>
      <c r="M41" s="92">
        <f t="shared" si="3"/>
        <v>140.99851430208815</v>
      </c>
      <c r="N41" s="94">
        <f t="shared" si="4"/>
        <v>141.80000000000001</v>
      </c>
      <c r="P41" s="100">
        <f t="shared" si="5"/>
        <v>141.80000000000001</v>
      </c>
      <c r="Q41" s="4" t="str">
        <f t="shared" si="0"/>
        <v>129+744</v>
      </c>
      <c r="R41" s="100">
        <f t="shared" si="6"/>
        <v>140.99851430208815</v>
      </c>
    </row>
    <row r="42" spans="1:18" x14ac:dyDescent="0.25">
      <c r="A42" s="72">
        <f>'Capacity Statememnt'!D45</f>
        <v>39</v>
      </c>
      <c r="B42" s="73" t="str">
        <f>'Capacity Statememnt'!F45</f>
        <v>134+179</v>
      </c>
      <c r="C42" s="73">
        <f>'Capacity Statememnt'!E45</f>
        <v>134179.875</v>
      </c>
      <c r="D42" s="73" t="str">
        <f>'Capacity Statememnt'!H45</f>
        <v>L20</v>
      </c>
      <c r="E42" s="92">
        <f>'Capacity Statememnt'!I45*1000</f>
        <v>6561.6880000000001</v>
      </c>
      <c r="F42" s="93">
        <f t="shared" si="7"/>
        <v>139.07532479999998</v>
      </c>
      <c r="G42" s="93">
        <f t="shared" si="1"/>
        <v>139.32532479999998</v>
      </c>
      <c r="H42" s="98">
        <v>4.0000000000000002E-4</v>
      </c>
      <c r="I42" s="92">
        <f t="shared" si="2"/>
        <v>2.6246752</v>
      </c>
      <c r="J42" s="92">
        <v>141.69999999999999</v>
      </c>
      <c r="K42" s="92">
        <f t="shared" si="8"/>
        <v>142.69999999999999</v>
      </c>
      <c r="L42" s="92">
        <f>'Canal Design'!O45</f>
        <v>1.6990167499119888</v>
      </c>
      <c r="M42" s="92">
        <f t="shared" si="3"/>
        <v>141.00098325008801</v>
      </c>
      <c r="N42" s="94">
        <f t="shared" si="4"/>
        <v>141.69999999999999</v>
      </c>
      <c r="P42" s="100">
        <f t="shared" si="5"/>
        <v>141.69999999999999</v>
      </c>
      <c r="Q42" s="4" t="str">
        <f t="shared" si="0"/>
        <v>134+179</v>
      </c>
      <c r="R42" s="100">
        <f t="shared" si="6"/>
        <v>141.00098325008801</v>
      </c>
    </row>
    <row r="43" spans="1:18" x14ac:dyDescent="0.25">
      <c r="A43" s="72">
        <f>'Capacity Statememnt'!D46</f>
        <v>40</v>
      </c>
      <c r="B43" s="73" t="str">
        <f>'Capacity Statememnt'!F46</f>
        <v>134+179</v>
      </c>
      <c r="C43" s="73">
        <f>'Capacity Statememnt'!E46</f>
        <v>134179.875</v>
      </c>
      <c r="D43" s="73" t="str">
        <f>'Capacity Statememnt'!H46</f>
        <v>R20</v>
      </c>
      <c r="E43" s="92">
        <f>'Capacity Statememnt'!I46*1000</f>
        <v>6561.6880000000001</v>
      </c>
      <c r="F43" s="93">
        <f t="shared" si="7"/>
        <v>139.07532479999998</v>
      </c>
      <c r="G43" s="93">
        <f t="shared" si="1"/>
        <v>139.32532479999998</v>
      </c>
      <c r="H43" s="98">
        <v>4.0000000000000002E-4</v>
      </c>
      <c r="I43" s="92">
        <f t="shared" si="2"/>
        <v>2.6246752</v>
      </c>
      <c r="J43" s="92">
        <v>141.69999999999999</v>
      </c>
      <c r="K43" s="92">
        <f t="shared" si="8"/>
        <v>142.69999999999999</v>
      </c>
      <c r="L43" s="92">
        <f>'Canal Design'!O46</f>
        <v>1.6990167499119888</v>
      </c>
      <c r="M43" s="92">
        <f t="shared" si="3"/>
        <v>141.00098325008801</v>
      </c>
      <c r="N43" s="94">
        <f t="shared" si="4"/>
        <v>141.69999999999999</v>
      </c>
      <c r="P43" s="100">
        <f t="shared" si="5"/>
        <v>141.69999999999999</v>
      </c>
      <c r="Q43" s="4" t="str">
        <f t="shared" si="0"/>
        <v>134+179</v>
      </c>
      <c r="R43" s="100">
        <f t="shared" si="6"/>
        <v>141.00098325008801</v>
      </c>
    </row>
    <row r="44" spans="1:18" x14ac:dyDescent="0.25">
      <c r="A44" s="72">
        <f>'Capacity Statememnt'!D47</f>
        <v>41</v>
      </c>
      <c r="B44" s="73" t="str">
        <f>'Capacity Statememnt'!F47</f>
        <v>138+615</v>
      </c>
      <c r="C44" s="73">
        <f>'Capacity Statememnt'!E47</f>
        <v>138615.57500000001</v>
      </c>
      <c r="D44" s="73" t="str">
        <f>'Capacity Statememnt'!H47</f>
        <v>L21</v>
      </c>
      <c r="E44" s="92">
        <f>'Capacity Statememnt'!I47*1000</f>
        <v>6561.6880000000001</v>
      </c>
      <c r="F44" s="93">
        <f t="shared" si="7"/>
        <v>138.87532479999999</v>
      </c>
      <c r="G44" s="93">
        <f t="shared" si="1"/>
        <v>139.12532479999999</v>
      </c>
      <c r="H44" s="98">
        <v>4.0000000000000002E-4</v>
      </c>
      <c r="I44" s="92">
        <f t="shared" si="2"/>
        <v>2.6246752</v>
      </c>
      <c r="J44" s="92">
        <v>141.5</v>
      </c>
      <c r="K44" s="92">
        <f t="shared" si="8"/>
        <v>142.5</v>
      </c>
      <c r="L44" s="92">
        <f>'Canal Design'!O47</f>
        <v>1.5794839595616452</v>
      </c>
      <c r="M44" s="92">
        <f t="shared" si="3"/>
        <v>140.92051604043834</v>
      </c>
      <c r="N44" s="94">
        <f t="shared" si="4"/>
        <v>141.5</v>
      </c>
      <c r="P44" s="100">
        <f t="shared" si="5"/>
        <v>141.5</v>
      </c>
      <c r="Q44" s="4" t="str">
        <f t="shared" si="0"/>
        <v>138+615</v>
      </c>
      <c r="R44" s="100">
        <f t="shared" si="6"/>
        <v>140.92051604043834</v>
      </c>
    </row>
    <row r="45" spans="1:18" x14ac:dyDescent="0.25">
      <c r="A45" s="72">
        <f>'Capacity Statememnt'!D48</f>
        <v>42</v>
      </c>
      <c r="B45" s="73" t="str">
        <f>'Capacity Statememnt'!F48</f>
        <v>138+615</v>
      </c>
      <c r="C45" s="73">
        <f>'Capacity Statememnt'!E48</f>
        <v>138615.57500000001</v>
      </c>
      <c r="D45" s="73" t="str">
        <f>'Capacity Statememnt'!H48</f>
        <v>R21</v>
      </c>
      <c r="E45" s="92">
        <f>'Capacity Statememnt'!I48*1000</f>
        <v>6561.6880000000001</v>
      </c>
      <c r="F45" s="93">
        <f t="shared" si="7"/>
        <v>138.87532479999999</v>
      </c>
      <c r="G45" s="93">
        <f t="shared" si="1"/>
        <v>139.12532479999999</v>
      </c>
      <c r="H45" s="98">
        <v>4.0000000000000002E-4</v>
      </c>
      <c r="I45" s="92">
        <f t="shared" si="2"/>
        <v>2.6246752</v>
      </c>
      <c r="J45" s="92">
        <v>141.5</v>
      </c>
      <c r="K45" s="92">
        <f t="shared" si="8"/>
        <v>142.5</v>
      </c>
      <c r="L45" s="92">
        <f>'Canal Design'!O48</f>
        <v>1.5794839595616452</v>
      </c>
      <c r="M45" s="92">
        <f t="shared" si="3"/>
        <v>140.92051604043834</v>
      </c>
      <c r="N45" s="94">
        <f t="shared" si="4"/>
        <v>141.5</v>
      </c>
      <c r="P45" s="100">
        <f t="shared" si="5"/>
        <v>141.5</v>
      </c>
      <c r="Q45" s="4" t="str">
        <f t="shared" si="0"/>
        <v>138+615</v>
      </c>
      <c r="R45" s="100">
        <f t="shared" si="6"/>
        <v>140.92051604043834</v>
      </c>
    </row>
    <row r="46" spans="1:18" x14ac:dyDescent="0.25">
      <c r="A46" s="72">
        <f>'Capacity Statememnt'!D49</f>
        <v>43</v>
      </c>
      <c r="B46" s="73" t="str">
        <f>'Capacity Statememnt'!F49</f>
        <v>143+051</v>
      </c>
      <c r="C46" s="73">
        <f>'Capacity Statememnt'!E49</f>
        <v>143051.27499999999</v>
      </c>
      <c r="D46" s="73" t="str">
        <f>'Capacity Statememnt'!H49</f>
        <v>L22</v>
      </c>
      <c r="E46" s="92">
        <f>'Capacity Statememnt'!I49*1000</f>
        <v>6561.6880000000001</v>
      </c>
      <c r="F46" s="93">
        <f t="shared" si="7"/>
        <v>138.77532479999999</v>
      </c>
      <c r="G46" s="93">
        <f t="shared" si="1"/>
        <v>139.02532479999999</v>
      </c>
      <c r="H46" s="98">
        <v>4.0000000000000002E-4</v>
      </c>
      <c r="I46" s="92">
        <f t="shared" si="2"/>
        <v>2.6246752</v>
      </c>
      <c r="J46" s="92">
        <v>141.4</v>
      </c>
      <c r="K46" s="92">
        <f t="shared" si="8"/>
        <v>142.4</v>
      </c>
      <c r="L46" s="92">
        <f>'Canal Design'!O49</f>
        <v>1.4381054295471336</v>
      </c>
      <c r="M46" s="92">
        <f t="shared" si="3"/>
        <v>140.96189457045287</v>
      </c>
      <c r="N46" s="94">
        <f t="shared" si="4"/>
        <v>141.4</v>
      </c>
      <c r="P46" s="100">
        <f t="shared" si="5"/>
        <v>141.4</v>
      </c>
      <c r="Q46" s="4" t="str">
        <f t="shared" si="0"/>
        <v>143+051</v>
      </c>
      <c r="R46" s="100">
        <f t="shared" si="6"/>
        <v>140.96189457045287</v>
      </c>
    </row>
    <row r="47" spans="1:18" x14ac:dyDescent="0.25">
      <c r="A47" s="72">
        <f>'Capacity Statememnt'!D50</f>
        <v>44</v>
      </c>
      <c r="B47" s="73" t="str">
        <f>'Capacity Statememnt'!F50</f>
        <v>143+051</v>
      </c>
      <c r="C47" s="73">
        <f>'Capacity Statememnt'!E50</f>
        <v>143051.27499999999</v>
      </c>
      <c r="D47" s="73" t="str">
        <f>'Capacity Statememnt'!H50</f>
        <v>R22</v>
      </c>
      <c r="E47" s="92">
        <f>'Capacity Statememnt'!I50*1000</f>
        <v>6561.6880000000001</v>
      </c>
      <c r="F47" s="93">
        <f t="shared" si="7"/>
        <v>138.77532479999999</v>
      </c>
      <c r="G47" s="93">
        <f t="shared" si="1"/>
        <v>139.02532479999999</v>
      </c>
      <c r="H47" s="98">
        <v>4.0000000000000002E-4</v>
      </c>
      <c r="I47" s="92">
        <f t="shared" si="2"/>
        <v>2.6246752</v>
      </c>
      <c r="J47" s="92">
        <v>141.4</v>
      </c>
      <c r="K47" s="92">
        <f t="shared" si="8"/>
        <v>142.4</v>
      </c>
      <c r="L47" s="92">
        <f>'Canal Design'!O50</f>
        <v>1.4381054295471336</v>
      </c>
      <c r="M47" s="92">
        <f t="shared" si="3"/>
        <v>140.96189457045287</v>
      </c>
      <c r="N47" s="94">
        <f t="shared" si="4"/>
        <v>141.4</v>
      </c>
      <c r="P47" s="100">
        <f t="shared" si="5"/>
        <v>141.4</v>
      </c>
      <c r="Q47" s="4" t="str">
        <f t="shared" si="0"/>
        <v>143+051</v>
      </c>
      <c r="R47" s="100">
        <f t="shared" si="6"/>
        <v>140.96189457045287</v>
      </c>
    </row>
    <row r="48" spans="1:18" x14ac:dyDescent="0.25">
      <c r="A48" s="72">
        <f>'Capacity Statememnt'!D51</f>
        <v>45</v>
      </c>
      <c r="B48" s="73" t="str">
        <f>'Capacity Statememnt'!F51</f>
        <v>147+486</v>
      </c>
      <c r="C48" s="73">
        <f>'Capacity Statememnt'!E51</f>
        <v>147486.97499999998</v>
      </c>
      <c r="D48" s="73" t="str">
        <f>'Capacity Statememnt'!H51</f>
        <v>L23</v>
      </c>
      <c r="E48" s="92">
        <f>'Capacity Statememnt'!I51*1000</f>
        <v>6561.6880000000001</v>
      </c>
      <c r="F48" s="93">
        <f t="shared" si="7"/>
        <v>138.6753248</v>
      </c>
      <c r="G48" s="93">
        <f t="shared" si="1"/>
        <v>138.9253248</v>
      </c>
      <c r="H48" s="98">
        <v>4.0000000000000002E-4</v>
      </c>
      <c r="I48" s="92">
        <f t="shared" si="2"/>
        <v>2.6246752</v>
      </c>
      <c r="J48" s="92">
        <v>141.30000000000001</v>
      </c>
      <c r="K48" s="92">
        <f t="shared" si="8"/>
        <v>142.30000000000001</v>
      </c>
      <c r="L48" s="92" t="e">
        <f>'Canal Design'!O51</f>
        <v>#NUM!</v>
      </c>
      <c r="M48" s="92" t="e">
        <f t="shared" si="3"/>
        <v>#NUM!</v>
      </c>
      <c r="N48" s="94">
        <f t="shared" si="4"/>
        <v>141.30000000000001</v>
      </c>
      <c r="P48" s="100">
        <f t="shared" si="5"/>
        <v>141.30000000000001</v>
      </c>
      <c r="Q48" s="4" t="str">
        <f t="shared" si="0"/>
        <v>147+486</v>
      </c>
      <c r="R48" s="100" t="e">
        <f t="shared" si="6"/>
        <v>#NUM!</v>
      </c>
    </row>
    <row r="49" spans="1:18" ht="15.75" thickBot="1" x14ac:dyDescent="0.3">
      <c r="A49" s="77">
        <f>'Capacity Statememnt'!D52</f>
        <v>46</v>
      </c>
      <c r="B49" s="78" t="str">
        <f>'Capacity Statememnt'!F52</f>
        <v>147+486</v>
      </c>
      <c r="C49" s="73">
        <f>'Capacity Statememnt'!E52</f>
        <v>147486.97499999998</v>
      </c>
      <c r="D49" s="78" t="str">
        <f>'Capacity Statememnt'!H52</f>
        <v>R23</v>
      </c>
      <c r="E49" s="95">
        <f>'Capacity Statememnt'!I52*1000</f>
        <v>6561.6880000000001</v>
      </c>
      <c r="F49" s="96">
        <f t="shared" si="7"/>
        <v>138.6753248</v>
      </c>
      <c r="G49" s="96">
        <f t="shared" si="1"/>
        <v>138.9253248</v>
      </c>
      <c r="H49" s="99">
        <v>4.0000000000000002E-4</v>
      </c>
      <c r="I49" s="95">
        <f t="shared" si="2"/>
        <v>2.6246752</v>
      </c>
      <c r="J49" s="95">
        <v>141.30000000000001</v>
      </c>
      <c r="K49" s="95">
        <f t="shared" si="8"/>
        <v>142.30000000000001</v>
      </c>
      <c r="L49" s="95" t="e">
        <f>'Canal Design'!O52</f>
        <v>#NUM!</v>
      </c>
      <c r="M49" s="95" t="e">
        <f t="shared" si="3"/>
        <v>#NUM!</v>
      </c>
      <c r="N49" s="97">
        <f t="shared" si="4"/>
        <v>141.30000000000001</v>
      </c>
      <c r="P49" s="100">
        <f t="shared" si="5"/>
        <v>141.30000000000001</v>
      </c>
      <c r="Q49" s="4" t="str">
        <f t="shared" si="0"/>
        <v>147+486</v>
      </c>
      <c r="R49" s="100" t="e">
        <f t="shared" si="6"/>
        <v>#NUM!</v>
      </c>
    </row>
    <row r="50" spans="1:18" x14ac:dyDescent="0.25">
      <c r="B50" s="70"/>
      <c r="C50" s="70"/>
    </row>
    <row r="51" spans="1:18" x14ac:dyDescent="0.25">
      <c r="B51" s="70"/>
      <c r="C51" s="70"/>
    </row>
    <row r="52" spans="1:18" x14ac:dyDescent="0.25">
      <c r="B52" s="70"/>
      <c r="C52" s="70"/>
    </row>
    <row r="53" spans="1:18" x14ac:dyDescent="0.25">
      <c r="B53" s="70"/>
      <c r="C53" s="70"/>
    </row>
    <row r="54" spans="1:18" x14ac:dyDescent="0.25">
      <c r="B54" s="70"/>
      <c r="C54" s="70"/>
    </row>
    <row r="55" spans="1:18" x14ac:dyDescent="0.25">
      <c r="B55" s="70"/>
      <c r="C55" s="70"/>
    </row>
    <row r="56" spans="1:18" x14ac:dyDescent="0.25">
      <c r="B56" s="70"/>
      <c r="C56" s="70"/>
    </row>
    <row r="57" spans="1:18" x14ac:dyDescent="0.25">
      <c r="B57" s="70"/>
      <c r="C57" s="70"/>
    </row>
    <row r="58" spans="1:18" x14ac:dyDescent="0.25">
      <c r="B58" s="70"/>
      <c r="C58" s="70"/>
    </row>
    <row r="59" spans="1:18" x14ac:dyDescent="0.25">
      <c r="B59" s="70"/>
      <c r="C59" s="70"/>
    </row>
    <row r="60" spans="1:18" x14ac:dyDescent="0.25">
      <c r="B60" s="70"/>
      <c r="C60" s="70"/>
    </row>
    <row r="61" spans="1:18" x14ac:dyDescent="0.25">
      <c r="B61" s="70"/>
      <c r="C61" s="70"/>
    </row>
    <row r="62" spans="1:18" x14ac:dyDescent="0.25">
      <c r="B62" s="70"/>
      <c r="C62" s="70"/>
    </row>
    <row r="63" spans="1:18" x14ac:dyDescent="0.25">
      <c r="B63" s="70"/>
      <c r="C63" s="70"/>
    </row>
    <row r="64" spans="1:18" x14ac:dyDescent="0.25">
      <c r="B64" s="70"/>
      <c r="C64" s="70"/>
    </row>
    <row r="65" spans="2:3" x14ac:dyDescent="0.25">
      <c r="B65" s="70"/>
      <c r="C65" s="70"/>
    </row>
    <row r="66" spans="2:3" x14ac:dyDescent="0.25">
      <c r="B66" s="70"/>
      <c r="C66" s="70"/>
    </row>
    <row r="67" spans="2:3" x14ac:dyDescent="0.25">
      <c r="B67" s="70"/>
      <c r="C67" s="70"/>
    </row>
    <row r="68" spans="2:3" x14ac:dyDescent="0.25">
      <c r="B68" s="70"/>
      <c r="C68" s="70"/>
    </row>
    <row r="69" spans="2:3" x14ac:dyDescent="0.25">
      <c r="B69" s="70"/>
      <c r="C69" s="70"/>
    </row>
    <row r="70" spans="2:3" x14ac:dyDescent="0.25">
      <c r="B70" s="70"/>
      <c r="C70" s="70"/>
    </row>
    <row r="71" spans="2:3" x14ac:dyDescent="0.25">
      <c r="B71" s="70"/>
      <c r="C71" s="70"/>
    </row>
    <row r="72" spans="2:3" x14ac:dyDescent="0.25">
      <c r="B72" s="70"/>
      <c r="C72" s="70"/>
    </row>
    <row r="73" spans="2:3" x14ac:dyDescent="0.25">
      <c r="B73" s="70"/>
      <c r="C73" s="70"/>
    </row>
    <row r="74" spans="2:3" x14ac:dyDescent="0.25">
      <c r="B74" s="70"/>
      <c r="C74" s="70"/>
    </row>
    <row r="75" spans="2:3" x14ac:dyDescent="0.25">
      <c r="B75" s="70"/>
      <c r="C75" s="70"/>
    </row>
    <row r="76" spans="2:3" x14ac:dyDescent="0.25">
      <c r="B76" s="70"/>
      <c r="C76" s="70"/>
    </row>
    <row r="77" spans="2:3" x14ac:dyDescent="0.25">
      <c r="B77" s="70"/>
      <c r="C77" s="70"/>
    </row>
    <row r="78" spans="2:3" x14ac:dyDescent="0.25">
      <c r="B78" s="70"/>
      <c r="C78" s="70"/>
    </row>
    <row r="79" spans="2:3" x14ac:dyDescent="0.25">
      <c r="B79" s="70"/>
      <c r="C79" s="70"/>
    </row>
    <row r="80" spans="2:3" x14ac:dyDescent="0.25">
      <c r="B80" s="70"/>
      <c r="C80" s="70"/>
    </row>
    <row r="81" spans="2:3" x14ac:dyDescent="0.25">
      <c r="B81" s="70"/>
      <c r="C81" s="70"/>
    </row>
    <row r="82" spans="2:3" x14ac:dyDescent="0.25">
      <c r="B82" s="70"/>
      <c r="C82" s="70"/>
    </row>
    <row r="83" spans="2:3" x14ac:dyDescent="0.25">
      <c r="B83" s="70"/>
      <c r="C83" s="70"/>
    </row>
    <row r="84" spans="2:3" x14ac:dyDescent="0.25">
      <c r="B84" s="70"/>
      <c r="C84" s="70"/>
    </row>
    <row r="85" spans="2:3" x14ac:dyDescent="0.25">
      <c r="B85" s="70"/>
      <c r="C85" s="70"/>
    </row>
    <row r="86" spans="2:3" x14ac:dyDescent="0.25">
      <c r="B86" s="70"/>
      <c r="C86" s="70"/>
    </row>
    <row r="87" spans="2:3" x14ac:dyDescent="0.25">
      <c r="B87" s="70"/>
      <c r="C87" s="70"/>
    </row>
    <row r="88" spans="2:3" x14ac:dyDescent="0.25">
      <c r="B88" s="70"/>
      <c r="C88" s="70"/>
    </row>
    <row r="89" spans="2:3" x14ac:dyDescent="0.25">
      <c r="B89" s="70"/>
      <c r="C89" s="70"/>
    </row>
    <row r="90" spans="2:3" x14ac:dyDescent="0.25">
      <c r="B90" s="70"/>
      <c r="C90" s="70"/>
    </row>
    <row r="91" spans="2:3" x14ac:dyDescent="0.25">
      <c r="B91" s="70"/>
      <c r="C91" s="70"/>
    </row>
    <row r="92" spans="2:3" x14ac:dyDescent="0.25">
      <c r="B92" s="70"/>
      <c r="C92" s="70"/>
    </row>
    <row r="93" spans="2:3" x14ac:dyDescent="0.25">
      <c r="B93" s="70"/>
      <c r="C93" s="70"/>
    </row>
    <row r="94" spans="2:3" x14ac:dyDescent="0.25">
      <c r="B94" s="70"/>
      <c r="C94" s="70"/>
    </row>
    <row r="95" spans="2:3" x14ac:dyDescent="0.25">
      <c r="B95" s="70"/>
      <c r="C95" s="70"/>
    </row>
    <row r="96" spans="2:3" x14ac:dyDescent="0.25">
      <c r="B96" s="70"/>
      <c r="C96" s="70"/>
    </row>
    <row r="97" spans="2:3" x14ac:dyDescent="0.25">
      <c r="B97" s="70"/>
      <c r="C97" s="70"/>
    </row>
    <row r="98" spans="2:3" x14ac:dyDescent="0.25">
      <c r="B98" s="70"/>
      <c r="C98" s="70"/>
    </row>
    <row r="99" spans="2:3" x14ac:dyDescent="0.25">
      <c r="B99" s="70"/>
      <c r="C99" s="70"/>
    </row>
    <row r="100" spans="2:3" x14ac:dyDescent="0.25">
      <c r="B100" s="70"/>
      <c r="C100" s="70"/>
    </row>
    <row r="101" spans="2:3" x14ac:dyDescent="0.25">
      <c r="B101" s="70"/>
      <c r="C101" s="70"/>
    </row>
    <row r="102" spans="2:3" x14ac:dyDescent="0.25">
      <c r="B102" s="70"/>
      <c r="C102" s="70"/>
    </row>
    <row r="103" spans="2:3" x14ac:dyDescent="0.25">
      <c r="B103" s="70"/>
      <c r="C103" s="70"/>
    </row>
    <row r="104" spans="2:3" x14ac:dyDescent="0.25">
      <c r="B104" s="70"/>
      <c r="C104" s="70"/>
    </row>
    <row r="105" spans="2:3" x14ac:dyDescent="0.25">
      <c r="B105" s="70"/>
      <c r="C105" s="70"/>
    </row>
    <row r="106" spans="2:3" x14ac:dyDescent="0.25">
      <c r="B106" s="70"/>
      <c r="C106" s="70"/>
    </row>
    <row r="107" spans="2:3" x14ac:dyDescent="0.25">
      <c r="B107" s="70"/>
      <c r="C107" s="70"/>
    </row>
    <row r="108" spans="2:3" x14ac:dyDescent="0.25">
      <c r="B108" s="70"/>
      <c r="C108" s="70"/>
    </row>
    <row r="109" spans="2:3" x14ac:dyDescent="0.25">
      <c r="B109" s="70"/>
      <c r="C109" s="70"/>
    </row>
    <row r="110" spans="2:3" x14ac:dyDescent="0.25">
      <c r="B110" s="70"/>
      <c r="C110" s="70"/>
    </row>
    <row r="111" spans="2:3" x14ac:dyDescent="0.25">
      <c r="B111" s="70"/>
      <c r="C111" s="70"/>
    </row>
    <row r="112" spans="2:3" x14ac:dyDescent="0.25">
      <c r="B112" s="70"/>
      <c r="C112" s="70"/>
    </row>
  </sheetData>
  <mergeCells count="3">
    <mergeCell ref="A2:A3"/>
    <mergeCell ref="A1:N1"/>
    <mergeCell ref="B2:C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2"/>
  <sheetViews>
    <sheetView tabSelected="1" zoomScale="90" zoomScaleNormal="90" workbookViewId="0">
      <selection activeCell="P16" sqref="P16"/>
    </sheetView>
  </sheetViews>
  <sheetFormatPr defaultRowHeight="15" x14ac:dyDescent="0.25"/>
  <cols>
    <col min="1" max="1" width="10.28515625" customWidth="1"/>
    <col min="2" max="2" width="13.28515625" customWidth="1"/>
    <col min="3" max="3" width="10.7109375" customWidth="1"/>
    <col min="4" max="5" width="10" customWidth="1"/>
    <col min="6" max="6" width="11" customWidth="1"/>
    <col min="7" max="7" width="11.28515625" customWidth="1"/>
    <col min="8" max="8" width="14.28515625" customWidth="1"/>
    <col min="9" max="9" width="7.7109375" customWidth="1"/>
    <col min="10" max="10" width="7.28515625" customWidth="1"/>
    <col min="11" max="11" width="8.42578125" customWidth="1"/>
    <col min="12" max="12" width="9.28515625" customWidth="1"/>
    <col min="13" max="13" width="10.42578125" customWidth="1"/>
    <col min="14" max="14" width="11.140625" customWidth="1"/>
    <col min="15" max="15" width="11.85546875" customWidth="1"/>
    <col min="16" max="16" width="12.28515625" customWidth="1"/>
  </cols>
  <sheetData>
    <row r="1" spans="1:16" x14ac:dyDescent="0.25">
      <c r="A1" s="122" t="s">
        <v>108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4"/>
    </row>
    <row r="2" spans="1:16" x14ac:dyDescent="0.25">
      <c r="A2" s="118" t="s">
        <v>216</v>
      </c>
      <c r="B2" s="117"/>
      <c r="C2" s="107"/>
      <c r="D2" s="107"/>
      <c r="E2" s="107"/>
      <c r="F2" s="107">
        <v>507.61</v>
      </c>
      <c r="G2" s="107" t="s">
        <v>217</v>
      </c>
      <c r="H2" s="107"/>
      <c r="I2" s="107"/>
      <c r="J2" s="107"/>
      <c r="K2" s="107"/>
      <c r="L2" s="107"/>
      <c r="M2" s="107"/>
      <c r="N2" s="107"/>
      <c r="O2" s="107"/>
      <c r="P2" s="108"/>
    </row>
    <row r="3" spans="1:16" x14ac:dyDescent="0.25">
      <c r="A3" s="170" t="s">
        <v>222</v>
      </c>
      <c r="B3" s="171"/>
      <c r="C3" s="172"/>
      <c r="D3" s="107"/>
      <c r="E3" s="107"/>
      <c r="F3" s="107">
        <v>3600</v>
      </c>
      <c r="G3" s="107" t="s">
        <v>234</v>
      </c>
      <c r="H3" s="107"/>
      <c r="I3" s="107"/>
      <c r="J3" s="107"/>
      <c r="K3" s="107"/>
      <c r="L3" s="107"/>
      <c r="M3" s="107"/>
      <c r="N3" s="107"/>
      <c r="O3" s="107"/>
      <c r="P3" s="108"/>
    </row>
    <row r="4" spans="1:16" ht="18" customHeight="1" x14ac:dyDescent="0.25">
      <c r="A4" s="168" t="s">
        <v>204</v>
      </c>
      <c r="B4" s="167" t="s">
        <v>115</v>
      </c>
      <c r="C4" s="167" t="s">
        <v>109</v>
      </c>
      <c r="D4" s="167" t="s">
        <v>110</v>
      </c>
      <c r="E4" s="167" t="s">
        <v>237</v>
      </c>
      <c r="F4" s="167" t="s">
        <v>220</v>
      </c>
      <c r="G4" s="167" t="s">
        <v>221</v>
      </c>
      <c r="H4" s="167" t="s">
        <v>248</v>
      </c>
      <c r="I4" s="167" t="s">
        <v>249</v>
      </c>
      <c r="J4" s="167"/>
      <c r="K4" s="167"/>
      <c r="L4" s="167"/>
      <c r="M4" s="128" t="s">
        <v>39</v>
      </c>
      <c r="N4" s="128"/>
      <c r="O4" s="128" t="s">
        <v>92</v>
      </c>
      <c r="P4" s="169"/>
    </row>
    <row r="5" spans="1:16" ht="14.25" customHeight="1" x14ac:dyDescent="0.25">
      <c r="A5" s="16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04" t="s">
        <v>114</v>
      </c>
      <c r="N5" s="104" t="s">
        <v>111</v>
      </c>
      <c r="O5" s="104" t="s">
        <v>112</v>
      </c>
      <c r="P5" s="105" t="s">
        <v>113</v>
      </c>
    </row>
    <row r="6" spans="1:16" x14ac:dyDescent="0.25">
      <c r="A6" s="26"/>
      <c r="B6" s="27" t="s">
        <v>129</v>
      </c>
      <c r="C6" s="27"/>
      <c r="D6" s="27"/>
      <c r="E6" s="27" t="s">
        <v>80</v>
      </c>
      <c r="F6" s="27" t="s">
        <v>203</v>
      </c>
      <c r="G6" s="27" t="s">
        <v>203</v>
      </c>
      <c r="H6" s="27" t="s">
        <v>218</v>
      </c>
      <c r="I6" s="27" t="s">
        <v>203</v>
      </c>
      <c r="J6" s="27" t="s">
        <v>203</v>
      </c>
      <c r="K6" s="27" t="s">
        <v>235</v>
      </c>
      <c r="L6" s="27" t="s">
        <v>236</v>
      </c>
      <c r="M6" s="27"/>
      <c r="N6" s="27"/>
      <c r="O6" s="27"/>
      <c r="P6" s="28"/>
    </row>
    <row r="7" spans="1:16" ht="15.75" x14ac:dyDescent="0.3">
      <c r="A7" s="13" t="s">
        <v>205</v>
      </c>
      <c r="B7" s="9">
        <v>50.761000000000003</v>
      </c>
      <c r="C7" s="9" t="s">
        <v>233</v>
      </c>
      <c r="D7" s="119" t="s">
        <v>223</v>
      </c>
      <c r="E7" s="9">
        <v>1684.9</v>
      </c>
      <c r="F7" s="109">
        <f>E7/$F$3</f>
        <v>0.46802777777777782</v>
      </c>
      <c r="G7" s="109">
        <f>1684.9/$F$3</f>
        <v>0.46802777777777782</v>
      </c>
      <c r="H7" s="109">
        <f>(168-$F$17+$G$17)/$F$2</f>
        <v>0.32809015670385622</v>
      </c>
      <c r="I7" s="9">
        <f>H7*B7+F7-G7</f>
        <v>16.654184444444446</v>
      </c>
      <c r="J7" s="9">
        <v>16</v>
      </c>
      <c r="K7" s="110">
        <f>(I7-J7)*60</f>
        <v>39.251066666666787</v>
      </c>
      <c r="L7" s="111">
        <f>TIME(J7,K7,0)</f>
        <v>0.69374999999999998</v>
      </c>
      <c r="M7" s="112">
        <f>TIME(0,0,0)</f>
        <v>0</v>
      </c>
      <c r="N7" s="113">
        <f>M7+L7</f>
        <v>0.69374999999999998</v>
      </c>
      <c r="O7" s="9" t="s">
        <v>238</v>
      </c>
      <c r="P7" s="14" t="s">
        <v>239</v>
      </c>
    </row>
    <row r="8" spans="1:16" ht="15.75" x14ac:dyDescent="0.3">
      <c r="A8" s="13" t="s">
        <v>206</v>
      </c>
      <c r="B8" s="9">
        <v>50.761000000000003</v>
      </c>
      <c r="C8" s="9" t="s">
        <v>233</v>
      </c>
      <c r="D8" s="119" t="s">
        <v>224</v>
      </c>
      <c r="E8" s="9">
        <v>1684.9</v>
      </c>
      <c r="F8" s="109">
        <f t="shared" ref="F8:F16" si="0">E8/$F$3</f>
        <v>0.46802777777777782</v>
      </c>
      <c r="G8" s="109">
        <f>1684.9/$F$3</f>
        <v>0.46802777777777782</v>
      </c>
      <c r="H8" s="109">
        <f t="shared" ref="H8:H16" si="1">(168-$F$17+$G$17)/$F$2</f>
        <v>0.32809015670385622</v>
      </c>
      <c r="I8" s="9">
        <f t="shared" ref="I8:I16" si="2">H8*B8+F8-G8</f>
        <v>16.654184444444446</v>
      </c>
      <c r="J8" s="9">
        <v>16</v>
      </c>
      <c r="K8" s="110">
        <f t="shared" ref="K8:K16" si="3">(I8-J8)*60</f>
        <v>39.251066666666787</v>
      </c>
      <c r="L8" s="111">
        <f t="shared" ref="L8:L16" si="4">TIME(J8,K8,0)</f>
        <v>0.69374999999999998</v>
      </c>
      <c r="M8" s="113">
        <f>N7</f>
        <v>0.69374999999999998</v>
      </c>
      <c r="N8" s="113">
        <f>M8+L8</f>
        <v>1.3875</v>
      </c>
      <c r="O8" s="9" t="str">
        <f>P7</f>
        <v>Monday</v>
      </c>
      <c r="P8" s="14" t="s">
        <v>240</v>
      </c>
    </row>
    <row r="9" spans="1:16" ht="15.75" x14ac:dyDescent="0.3">
      <c r="A9" s="13" t="s">
        <v>207</v>
      </c>
      <c r="B9" s="9">
        <v>50.761000000000003</v>
      </c>
      <c r="C9" s="119" t="s">
        <v>223</v>
      </c>
      <c r="D9" s="119" t="s">
        <v>225</v>
      </c>
      <c r="E9" s="9">
        <v>2997.24</v>
      </c>
      <c r="F9" s="109">
        <f t="shared" si="0"/>
        <v>0.83256666666666657</v>
      </c>
      <c r="G9" s="109">
        <f t="shared" ref="G9:G16" si="5">1684.9/$F$3</f>
        <v>0.46802777777777782</v>
      </c>
      <c r="H9" s="109">
        <f t="shared" si="1"/>
        <v>0.32809015670385622</v>
      </c>
      <c r="I9" s="9">
        <f t="shared" si="2"/>
        <v>17.018723333333334</v>
      </c>
      <c r="J9" s="9">
        <v>17</v>
      </c>
      <c r="K9" s="110">
        <f t="shared" si="3"/>
        <v>1.1234000000000322</v>
      </c>
      <c r="L9" s="111">
        <f t="shared" si="4"/>
        <v>0.7090277777777777</v>
      </c>
      <c r="M9" s="113">
        <f>N8</f>
        <v>1.3875</v>
      </c>
      <c r="N9" s="113">
        <f t="shared" ref="N9:N16" si="6">M9+L9</f>
        <v>2.0965277777777778</v>
      </c>
      <c r="O9" s="9" t="str">
        <f t="shared" ref="O9:O16" si="7">P8</f>
        <v>Wednesday</v>
      </c>
      <c r="P9" s="14" t="s">
        <v>241</v>
      </c>
    </row>
    <row r="10" spans="1:16" ht="15.75" x14ac:dyDescent="0.3">
      <c r="A10" s="13" t="s">
        <v>209</v>
      </c>
      <c r="B10" s="9">
        <v>50.761000000000003</v>
      </c>
      <c r="C10" s="119" t="s">
        <v>225</v>
      </c>
      <c r="D10" s="119" t="s">
        <v>226</v>
      </c>
      <c r="E10" s="9">
        <v>1684.9</v>
      </c>
      <c r="F10" s="109">
        <f t="shared" si="0"/>
        <v>0.46802777777777782</v>
      </c>
      <c r="G10" s="109">
        <f t="shared" si="5"/>
        <v>0.46802777777777782</v>
      </c>
      <c r="H10" s="109">
        <f t="shared" si="1"/>
        <v>0.32809015670385622</v>
      </c>
      <c r="I10" s="9">
        <f t="shared" si="2"/>
        <v>16.654184444444446</v>
      </c>
      <c r="J10" s="9">
        <v>16</v>
      </c>
      <c r="K10" s="110">
        <f t="shared" si="3"/>
        <v>39.251066666666787</v>
      </c>
      <c r="L10" s="111">
        <f t="shared" si="4"/>
        <v>0.69374999999999998</v>
      </c>
      <c r="M10" s="113">
        <f t="shared" ref="M10:M16" si="8">N9</f>
        <v>2.0965277777777778</v>
      </c>
      <c r="N10" s="113">
        <f t="shared" si="6"/>
        <v>2.7902777777777779</v>
      </c>
      <c r="O10" s="9" t="str">
        <f t="shared" si="7"/>
        <v>Thursday</v>
      </c>
      <c r="P10" s="14" t="s">
        <v>242</v>
      </c>
    </row>
    <row r="11" spans="1:16" ht="15.75" x14ac:dyDescent="0.3">
      <c r="A11" s="13" t="s">
        <v>210</v>
      </c>
      <c r="B11" s="9">
        <v>50.761000000000003</v>
      </c>
      <c r="C11" s="119" t="str">
        <f>D9</f>
        <v>l2</v>
      </c>
      <c r="D11" s="119" t="s">
        <v>227</v>
      </c>
      <c r="E11" s="9">
        <v>2997.24</v>
      </c>
      <c r="F11" s="109">
        <f t="shared" si="0"/>
        <v>0.83256666666666657</v>
      </c>
      <c r="G11" s="109">
        <f t="shared" si="5"/>
        <v>0.46802777777777782</v>
      </c>
      <c r="H11" s="109">
        <f t="shared" si="1"/>
        <v>0.32809015670385622</v>
      </c>
      <c r="I11" s="9">
        <f t="shared" si="2"/>
        <v>17.018723333333334</v>
      </c>
      <c r="J11" s="9">
        <v>17</v>
      </c>
      <c r="K11" s="110">
        <f t="shared" si="3"/>
        <v>1.1234000000000322</v>
      </c>
      <c r="L11" s="111">
        <f t="shared" si="4"/>
        <v>0.7090277777777777</v>
      </c>
      <c r="M11" s="113">
        <f t="shared" si="8"/>
        <v>2.7902777777777779</v>
      </c>
      <c r="N11" s="113">
        <f t="shared" si="6"/>
        <v>3.4993055555555554</v>
      </c>
      <c r="O11" s="9" t="str">
        <f t="shared" si="7"/>
        <v>thursday</v>
      </c>
      <c r="P11" s="14" t="s">
        <v>243</v>
      </c>
    </row>
    <row r="12" spans="1:16" ht="15.75" x14ac:dyDescent="0.3">
      <c r="A12" s="13" t="s">
        <v>211</v>
      </c>
      <c r="B12" s="9">
        <v>50.761000000000003</v>
      </c>
      <c r="C12" s="119" t="s">
        <v>227</v>
      </c>
      <c r="D12" s="119" t="s">
        <v>228</v>
      </c>
      <c r="E12" s="9">
        <v>1684.9</v>
      </c>
      <c r="F12" s="109">
        <f t="shared" si="0"/>
        <v>0.46802777777777782</v>
      </c>
      <c r="G12" s="109">
        <f t="shared" si="5"/>
        <v>0.46802777777777782</v>
      </c>
      <c r="H12" s="109">
        <f t="shared" si="1"/>
        <v>0.32809015670385622</v>
      </c>
      <c r="I12" s="9">
        <f t="shared" si="2"/>
        <v>16.654184444444446</v>
      </c>
      <c r="J12" s="9">
        <v>16</v>
      </c>
      <c r="K12" s="110">
        <f t="shared" si="3"/>
        <v>39.251066666666787</v>
      </c>
      <c r="L12" s="111">
        <f t="shared" si="4"/>
        <v>0.69374999999999998</v>
      </c>
      <c r="M12" s="113">
        <f t="shared" si="8"/>
        <v>3.4993055555555554</v>
      </c>
      <c r="N12" s="113">
        <f t="shared" si="6"/>
        <v>4.1930555555555555</v>
      </c>
      <c r="O12" s="9" t="str">
        <f t="shared" si="7"/>
        <v>Friday</v>
      </c>
      <c r="P12" s="14" t="s">
        <v>244</v>
      </c>
    </row>
    <row r="13" spans="1:16" ht="15.75" x14ac:dyDescent="0.3">
      <c r="A13" s="13" t="s">
        <v>212</v>
      </c>
      <c r="B13" s="9">
        <v>50.761000000000003</v>
      </c>
      <c r="C13" s="119" t="s">
        <v>227</v>
      </c>
      <c r="D13" s="119" t="s">
        <v>229</v>
      </c>
      <c r="E13" s="9">
        <v>2997.24</v>
      </c>
      <c r="F13" s="109">
        <f t="shared" si="0"/>
        <v>0.83256666666666657</v>
      </c>
      <c r="G13" s="109">
        <f t="shared" si="5"/>
        <v>0.46802777777777782</v>
      </c>
      <c r="H13" s="109">
        <f t="shared" si="1"/>
        <v>0.32809015670385622</v>
      </c>
      <c r="I13" s="9">
        <f t="shared" si="2"/>
        <v>17.018723333333334</v>
      </c>
      <c r="J13" s="9">
        <v>17</v>
      </c>
      <c r="K13" s="110">
        <f t="shared" si="3"/>
        <v>1.1234000000000322</v>
      </c>
      <c r="L13" s="111">
        <f t="shared" si="4"/>
        <v>0.7090277777777777</v>
      </c>
      <c r="M13" s="113">
        <f t="shared" si="8"/>
        <v>4.1930555555555555</v>
      </c>
      <c r="N13" s="113">
        <f t="shared" si="6"/>
        <v>4.9020833333333336</v>
      </c>
      <c r="O13" s="9" t="str">
        <f t="shared" si="7"/>
        <v>Saturday</v>
      </c>
      <c r="P13" s="14" t="s">
        <v>245</v>
      </c>
    </row>
    <row r="14" spans="1:16" ht="15.75" x14ac:dyDescent="0.3">
      <c r="A14" s="13" t="s">
        <v>213</v>
      </c>
      <c r="B14" s="9">
        <v>50.761000000000003</v>
      </c>
      <c r="C14" s="119" t="s">
        <v>229</v>
      </c>
      <c r="D14" s="119" t="s">
        <v>230</v>
      </c>
      <c r="E14" s="9">
        <v>1684.9</v>
      </c>
      <c r="F14" s="109">
        <f t="shared" si="0"/>
        <v>0.46802777777777782</v>
      </c>
      <c r="G14" s="109">
        <f t="shared" si="5"/>
        <v>0.46802777777777782</v>
      </c>
      <c r="H14" s="109">
        <f t="shared" si="1"/>
        <v>0.32809015670385622</v>
      </c>
      <c r="I14" s="9">
        <f t="shared" si="2"/>
        <v>16.654184444444446</v>
      </c>
      <c r="J14" s="9">
        <v>16</v>
      </c>
      <c r="K14" s="110">
        <f t="shared" si="3"/>
        <v>39.251066666666787</v>
      </c>
      <c r="L14" s="111">
        <f t="shared" si="4"/>
        <v>0.69374999999999998</v>
      </c>
      <c r="M14" s="113">
        <f t="shared" si="8"/>
        <v>4.9020833333333336</v>
      </c>
      <c r="N14" s="113">
        <f t="shared" si="6"/>
        <v>5.5958333333333332</v>
      </c>
      <c r="O14" s="9" t="str">
        <f t="shared" si="7"/>
        <v>saturday</v>
      </c>
      <c r="P14" s="14" t="s">
        <v>246</v>
      </c>
    </row>
    <row r="15" spans="1:16" ht="15.75" x14ac:dyDescent="0.3">
      <c r="A15" s="13" t="s">
        <v>214</v>
      </c>
      <c r="B15" s="9">
        <v>50.761000000000003</v>
      </c>
      <c r="C15" s="119" t="s">
        <v>229</v>
      </c>
      <c r="D15" s="119" t="s">
        <v>231</v>
      </c>
      <c r="E15" s="9">
        <v>2997.24</v>
      </c>
      <c r="F15" s="109">
        <f t="shared" si="0"/>
        <v>0.83256666666666657</v>
      </c>
      <c r="G15" s="109">
        <f t="shared" si="5"/>
        <v>0.46802777777777782</v>
      </c>
      <c r="H15" s="109">
        <f t="shared" si="1"/>
        <v>0.32809015670385622</v>
      </c>
      <c r="I15" s="9">
        <f t="shared" si="2"/>
        <v>17.018723333333334</v>
      </c>
      <c r="J15" s="9">
        <v>17</v>
      </c>
      <c r="K15" s="110">
        <f t="shared" si="3"/>
        <v>1.1234000000000322</v>
      </c>
      <c r="L15" s="111">
        <f t="shared" si="4"/>
        <v>0.7090277777777777</v>
      </c>
      <c r="M15" s="113">
        <f t="shared" si="8"/>
        <v>5.5958333333333332</v>
      </c>
      <c r="N15" s="113">
        <f t="shared" si="6"/>
        <v>6.3048611111111112</v>
      </c>
      <c r="O15" s="9" t="str">
        <f t="shared" si="7"/>
        <v>Sunday</v>
      </c>
      <c r="P15" s="14" t="s">
        <v>247</v>
      </c>
    </row>
    <row r="16" spans="1:16" ht="15.75" x14ac:dyDescent="0.3">
      <c r="A16" s="13" t="s">
        <v>215</v>
      </c>
      <c r="B16" s="9">
        <v>50.761000000000003</v>
      </c>
      <c r="C16" s="119" t="s">
        <v>231</v>
      </c>
      <c r="D16" s="119" t="s">
        <v>232</v>
      </c>
      <c r="E16" s="9">
        <v>1684.9</v>
      </c>
      <c r="F16" s="109">
        <f t="shared" si="0"/>
        <v>0.46802777777777782</v>
      </c>
      <c r="G16" s="109">
        <f t="shared" si="5"/>
        <v>0.46802777777777782</v>
      </c>
      <c r="H16" s="109">
        <f t="shared" si="1"/>
        <v>0.32809015670385622</v>
      </c>
      <c r="I16" s="9">
        <f t="shared" si="2"/>
        <v>16.654184444444446</v>
      </c>
      <c r="J16" s="9">
        <v>16</v>
      </c>
      <c r="K16" s="110">
        <f t="shared" si="3"/>
        <v>39.251066666666787</v>
      </c>
      <c r="L16" s="111">
        <f t="shared" si="4"/>
        <v>0.69374999999999998</v>
      </c>
      <c r="M16" s="113">
        <f t="shared" si="8"/>
        <v>6.3048611111111112</v>
      </c>
      <c r="N16" s="113">
        <f t="shared" si="6"/>
        <v>6.9986111111111109</v>
      </c>
      <c r="O16" s="9" t="str">
        <f t="shared" si="7"/>
        <v>monday</v>
      </c>
      <c r="P16" s="14" t="s">
        <v>247</v>
      </c>
    </row>
    <row r="17" spans="1:16" ht="15.75" thickBot="1" x14ac:dyDescent="0.3">
      <c r="A17" s="114" t="s">
        <v>219</v>
      </c>
      <c r="B17" s="16"/>
      <c r="C17" s="16"/>
      <c r="D17" s="16"/>
      <c r="E17" s="16"/>
      <c r="F17" s="115">
        <f>SUM(F7:F16)</f>
        <v>6.1384333333333325</v>
      </c>
      <c r="G17" s="115">
        <f>SUM(G7:G16)</f>
        <v>4.6802777777777784</v>
      </c>
      <c r="H17" s="16"/>
      <c r="I17" s="18">
        <f>SUM(I7:I16)</f>
        <v>167.99999999999997</v>
      </c>
      <c r="J17" s="18"/>
      <c r="K17" s="18"/>
      <c r="L17" s="18"/>
      <c r="M17" s="116"/>
      <c r="N17" s="116"/>
      <c r="O17" s="16"/>
      <c r="P17" s="17"/>
    </row>
    <row r="18" spans="1:16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6"/>
      <c r="N18" s="106"/>
      <c r="O18" s="103"/>
      <c r="P18" s="103"/>
    </row>
    <row r="19" spans="1:16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6"/>
      <c r="N19" s="106"/>
      <c r="O19" s="103"/>
      <c r="P19" s="103"/>
    </row>
    <row r="20" spans="1:16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6"/>
      <c r="N20" s="106"/>
      <c r="O20" s="103"/>
      <c r="P20" s="103"/>
    </row>
    <row r="21" spans="1:16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6"/>
      <c r="N21" s="106"/>
      <c r="O21" s="103"/>
      <c r="P21" s="103"/>
    </row>
    <row r="22" spans="1:16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6"/>
      <c r="N22" s="106"/>
      <c r="O22" s="103"/>
      <c r="P22" s="103"/>
    </row>
    <row r="23" spans="1:16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4" spans="1:16" x14ac:dyDescent="0.2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</row>
    <row r="25" spans="1:16" x14ac:dyDescent="0.25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</row>
    <row r="26" spans="1:16" x14ac:dyDescent="0.2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1:16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</row>
    <row r="29" spans="1:16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</row>
    <row r="30" spans="1:16" x14ac:dyDescent="0.25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</row>
    <row r="31" spans="1:16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</row>
    <row r="32" spans="1:16" x14ac:dyDescent="0.2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</row>
    <row r="33" spans="1:16" x14ac:dyDescent="0.2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</row>
    <row r="34" spans="1:16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</row>
    <row r="35" spans="1:16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</row>
    <row r="36" spans="1:16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</row>
    <row r="37" spans="1:16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6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</row>
    <row r="39" spans="1:16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</row>
    <row r="40" spans="1:16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</row>
    <row r="41" spans="1:16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</row>
    <row r="42" spans="1:16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</row>
    <row r="43" spans="1:16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</row>
    <row r="44" spans="1:16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</row>
    <row r="45" spans="1:16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</row>
    <row r="46" spans="1:16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</row>
    <row r="47" spans="1:16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</row>
    <row r="48" spans="1:16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1:16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</row>
    <row r="50" spans="1:16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</row>
    <row r="51" spans="1:16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</row>
    <row r="52" spans="1:16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</row>
  </sheetData>
  <mergeCells count="13">
    <mergeCell ref="I4:L5"/>
    <mergeCell ref="B4:B5"/>
    <mergeCell ref="A1:P1"/>
    <mergeCell ref="C4:C5"/>
    <mergeCell ref="D4:D5"/>
    <mergeCell ref="A4:A5"/>
    <mergeCell ref="M4:N4"/>
    <mergeCell ref="O4:P4"/>
    <mergeCell ref="F4:F5"/>
    <mergeCell ref="G4:G5"/>
    <mergeCell ref="H4:H5"/>
    <mergeCell ref="E4:E5"/>
    <mergeCell ref="A3:C3"/>
  </mergeCells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CWR</vt:lpstr>
      <vt:lpstr>Capacity Statememnt</vt:lpstr>
      <vt:lpstr>Canal Design</vt:lpstr>
      <vt:lpstr>Command Statememnt </vt:lpstr>
      <vt:lpstr>warabandi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Noman</dc:creator>
  <cp:lastModifiedBy>Usman Iftikhar</cp:lastModifiedBy>
  <cp:lastPrinted>2018-04-22T09:15:11Z</cp:lastPrinted>
  <dcterms:created xsi:type="dcterms:W3CDTF">2018-02-18T10:14:07Z</dcterms:created>
  <dcterms:modified xsi:type="dcterms:W3CDTF">2018-05-13T12:52:46Z</dcterms:modified>
</cp:coreProperties>
</file>