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E:\books\8th semester\1.Irrigation engineering\Lab\barrage by me\"/>
    </mc:Choice>
  </mc:AlternateContent>
  <xr:revisionPtr revIDLastSave="0" documentId="10_ncr:8100000_{B486F926-31DC-4C11-9F83-4FF7EA9E33E5}" xr6:coauthVersionLast="32" xr6:coauthVersionMax="32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definedNames>
    <definedName name="Qm">Sheet1!$D$7</definedName>
    <definedName name="wa">Sheet1!$D$8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1" i="1" l="1"/>
  <c r="H830" i="1"/>
  <c r="H776" i="1"/>
  <c r="H775" i="1"/>
  <c r="H774" i="1"/>
  <c r="H723" i="1"/>
  <c r="H721" i="1"/>
  <c r="H632" i="1"/>
  <c r="H862" i="1" l="1"/>
  <c r="H843" i="1"/>
  <c r="H839" i="1"/>
  <c r="H835" i="1"/>
  <c r="H722" i="1"/>
  <c r="H719" i="1"/>
  <c r="H718" i="1"/>
  <c r="H677" i="1"/>
  <c r="I677" i="1" s="1"/>
  <c r="H668" i="1"/>
  <c r="G648" i="1"/>
  <c r="D646" i="1"/>
  <c r="H572" i="1"/>
  <c r="E553" i="1"/>
  <c r="B555" i="1"/>
  <c r="H571" i="1"/>
  <c r="H569" i="1"/>
  <c r="H568" i="1"/>
  <c r="H567" i="1"/>
  <c r="H515" i="1"/>
  <c r="E515" i="1"/>
  <c r="C515" i="1"/>
  <c r="H486" i="1" l="1"/>
  <c r="H383" i="1"/>
  <c r="H354" i="1"/>
  <c r="D364" i="1"/>
  <c r="E363" i="1"/>
  <c r="E371" i="1"/>
  <c r="H361" i="1"/>
  <c r="H364" i="1"/>
  <c r="C366" i="1"/>
  <c r="H344" i="1"/>
  <c r="H309" i="1" l="1"/>
  <c r="H202" i="1"/>
  <c r="C149" i="1"/>
  <c r="H84" i="1"/>
  <c r="H54" i="1"/>
  <c r="I649" i="1" l="1"/>
  <c r="H644" i="1"/>
  <c r="H545" i="1" l="1"/>
  <c r="H544" i="1"/>
  <c r="H546" i="1" s="1"/>
  <c r="H543" i="1"/>
  <c r="H525" i="1"/>
  <c r="H379" i="1" l="1"/>
  <c r="J327" i="1"/>
  <c r="I327" i="1"/>
  <c r="I306" i="1" l="1"/>
  <c r="H306" i="1"/>
  <c r="H267" i="1"/>
  <c r="J328" i="1" s="1"/>
  <c r="H239" i="1"/>
  <c r="I328" i="1" s="1"/>
  <c r="H208" i="1"/>
  <c r="H180" i="1"/>
  <c r="H307" i="1" s="1"/>
  <c r="H350" i="1" l="1"/>
  <c r="I307" i="1"/>
  <c r="E137" i="1"/>
  <c r="E139" i="1"/>
  <c r="E135" i="1"/>
  <c r="Q123" i="1" l="1"/>
  <c r="E123" i="1"/>
  <c r="Q122" i="1"/>
  <c r="E122" i="1"/>
  <c r="Q121" i="1"/>
  <c r="E121" i="1"/>
  <c r="Q119" i="1"/>
  <c r="E119" i="1"/>
  <c r="Q118" i="1"/>
  <c r="E118" i="1"/>
  <c r="Q117" i="1"/>
  <c r="E117" i="1"/>
  <c r="Q115" i="1"/>
  <c r="E115" i="1"/>
  <c r="Q114" i="1"/>
  <c r="E114" i="1"/>
  <c r="Q113" i="1"/>
  <c r="E113" i="1"/>
  <c r="Q112" i="1"/>
  <c r="E112" i="1"/>
  <c r="H602" i="1" l="1"/>
  <c r="C638" i="1"/>
  <c r="H527" i="1"/>
  <c r="H631" i="1"/>
  <c r="F121" i="1"/>
  <c r="F122" i="1"/>
  <c r="F112" i="1"/>
  <c r="F123" i="1"/>
  <c r="F117" i="1"/>
  <c r="F115" i="1"/>
  <c r="F119" i="1"/>
  <c r="F114" i="1"/>
  <c r="F118" i="1"/>
  <c r="F113" i="1"/>
  <c r="H63" i="1" l="1"/>
  <c r="H83" i="1"/>
  <c r="E129" i="1" s="1"/>
  <c r="H13" i="1" l="1"/>
  <c r="J12" i="1"/>
  <c r="H42" i="1"/>
  <c r="H39" i="1"/>
  <c r="H4" i="1"/>
  <c r="H30" i="1" l="1"/>
  <c r="H31" i="1" s="1"/>
  <c r="B123" i="1"/>
  <c r="B118" i="1"/>
  <c r="B113" i="1"/>
  <c r="B122" i="1"/>
  <c r="B117" i="1"/>
  <c r="B112" i="1"/>
  <c r="B121" i="1"/>
  <c r="B115" i="1"/>
  <c r="B119" i="1"/>
  <c r="B114" i="1"/>
  <c r="H49" i="1"/>
  <c r="H732" i="1"/>
  <c r="G121" i="1" l="1"/>
  <c r="B157" i="1"/>
  <c r="B150" i="1"/>
  <c r="G113" i="1"/>
  <c r="G114" i="1"/>
  <c r="B151" i="1"/>
  <c r="B149" i="1"/>
  <c r="G112" i="1"/>
  <c r="B154" i="1"/>
  <c r="G118" i="1"/>
  <c r="B155" i="1"/>
  <c r="G119" i="1"/>
  <c r="B153" i="1"/>
  <c r="G117" i="1"/>
  <c r="B159" i="1"/>
  <c r="G123" i="1"/>
  <c r="G115" i="1"/>
  <c r="B158" i="1"/>
  <c r="G122" i="1"/>
  <c r="M670" i="1"/>
  <c r="H785" i="1" l="1"/>
  <c r="H805" i="1" s="1"/>
  <c r="I814" i="1" s="1"/>
  <c r="H784" i="1"/>
  <c r="G814" i="1"/>
  <c r="H736" i="1"/>
  <c r="B716" i="1"/>
  <c r="E814" i="1"/>
  <c r="B642" i="1"/>
  <c r="K619" i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612" i="1"/>
  <c r="K612" i="1" s="1"/>
  <c r="C611" i="1"/>
  <c r="D611" i="1" s="1"/>
  <c r="E611" i="1" s="1"/>
  <c r="F611" i="1" s="1"/>
  <c r="G611" i="1" s="1"/>
  <c r="H611" i="1" s="1"/>
  <c r="I611" i="1" s="1"/>
  <c r="J611" i="1" s="1"/>
  <c r="K611" i="1" s="1"/>
  <c r="L611" i="1" s="1"/>
  <c r="M611" i="1" s="1"/>
  <c r="I607" i="1"/>
  <c r="F612" i="1" s="1"/>
  <c r="H604" i="1"/>
  <c r="H603" i="1"/>
  <c r="H570" i="1"/>
  <c r="H524" i="1"/>
  <c r="B451" i="1"/>
  <c r="B447" i="1"/>
  <c r="H443" i="1"/>
  <c r="B448" i="1" s="1"/>
  <c r="H416" i="1"/>
  <c r="H417" i="1" s="1"/>
  <c r="H419" i="1" s="1"/>
  <c r="H380" i="1"/>
  <c r="H381" i="1" s="1"/>
  <c r="H271" i="1"/>
  <c r="H243" i="1"/>
  <c r="H212" i="1"/>
  <c r="H184" i="1"/>
  <c r="N139" i="1"/>
  <c r="F139" i="1"/>
  <c r="N135" i="1"/>
  <c r="F135" i="1"/>
  <c r="H95" i="1"/>
  <c r="H69" i="1"/>
  <c r="H59" i="1"/>
  <c r="H41" i="1"/>
  <c r="H40" i="1"/>
  <c r="H43" i="1" l="1"/>
  <c r="B452" i="1"/>
  <c r="F613" i="1"/>
  <c r="H526" i="1"/>
  <c r="H531" i="1" s="1"/>
  <c r="F617" i="1"/>
  <c r="H343" i="1"/>
  <c r="I324" i="1"/>
  <c r="H207" i="1"/>
  <c r="H303" i="1"/>
  <c r="H45" i="1"/>
  <c r="F137" i="1"/>
  <c r="H179" i="1"/>
  <c r="H192" i="1" s="1"/>
  <c r="H193" i="1" s="1"/>
  <c r="H528" i="1"/>
  <c r="H605" i="1"/>
  <c r="C612" i="1" s="1"/>
  <c r="H606" i="1"/>
  <c r="F618" i="1"/>
  <c r="F616" i="1"/>
  <c r="F614" i="1"/>
  <c r="F615" i="1"/>
  <c r="F619" i="1"/>
  <c r="H114" i="1" l="1"/>
  <c r="H118" i="1"/>
  <c r="I118" i="1" s="1"/>
  <c r="J118" i="1" s="1"/>
  <c r="K118" i="1" s="1"/>
  <c r="H115" i="1"/>
  <c r="H112" i="1"/>
  <c r="I112" i="1" s="1"/>
  <c r="J112" i="1" s="1"/>
  <c r="K112" i="1" s="1"/>
  <c r="H123" i="1"/>
  <c r="H121" i="1"/>
  <c r="I121" i="1" s="1"/>
  <c r="J121" i="1" s="1"/>
  <c r="K121" i="1" s="1"/>
  <c r="H117" i="1"/>
  <c r="I117" i="1" s="1"/>
  <c r="J117" i="1" s="1"/>
  <c r="K117" i="1" s="1"/>
  <c r="H122" i="1"/>
  <c r="I122" i="1" s="1"/>
  <c r="J122" i="1" s="1"/>
  <c r="K122" i="1" s="1"/>
  <c r="H113" i="1"/>
  <c r="H119" i="1"/>
  <c r="H484" i="1"/>
  <c r="H498" i="1" s="1"/>
  <c r="H73" i="1"/>
  <c r="H483" i="1"/>
  <c r="B539" i="1" s="1"/>
  <c r="H44" i="1"/>
  <c r="H496" i="1"/>
  <c r="C613" i="1"/>
  <c r="D612" i="1"/>
  <c r="H530" i="1"/>
  <c r="H534" i="1"/>
  <c r="D519" i="1" s="1"/>
  <c r="J303" i="1"/>
  <c r="J304" i="1" s="1"/>
  <c r="J309" i="1" s="1"/>
  <c r="H304" i="1"/>
  <c r="H629" i="1"/>
  <c r="H633" i="1" s="1"/>
  <c r="B618" i="1"/>
  <c r="L618" i="1" s="1"/>
  <c r="B616" i="1"/>
  <c r="L616" i="1" s="1"/>
  <c r="B614" i="1"/>
  <c r="L614" i="1" s="1"/>
  <c r="B613" i="1"/>
  <c r="L613" i="1" s="1"/>
  <c r="B617" i="1"/>
  <c r="L617" i="1" s="1"/>
  <c r="B619" i="1"/>
  <c r="L619" i="1" s="1"/>
  <c r="B615" i="1"/>
  <c r="L615" i="1" s="1"/>
  <c r="B612" i="1"/>
  <c r="L612" i="1" s="1"/>
  <c r="H85" i="1"/>
  <c r="H220" i="1"/>
  <c r="H221" i="1" s="1"/>
  <c r="H487" i="1"/>
  <c r="H349" i="1"/>
  <c r="H378" i="1"/>
  <c r="H384" i="1" s="1"/>
  <c r="E153" i="1" l="1"/>
  <c r="D153" i="1"/>
  <c r="I115" i="1"/>
  <c r="J115" i="1" s="1"/>
  <c r="K115" i="1" s="1"/>
  <c r="I119" i="1"/>
  <c r="J119" i="1" s="1"/>
  <c r="K119" i="1" s="1"/>
  <c r="E157" i="1"/>
  <c r="H157" i="1" s="1"/>
  <c r="D157" i="1"/>
  <c r="E154" i="1"/>
  <c r="D154" i="1"/>
  <c r="I113" i="1"/>
  <c r="J113" i="1" s="1"/>
  <c r="K113" i="1" s="1"/>
  <c r="I123" i="1"/>
  <c r="J123" i="1" s="1"/>
  <c r="K123" i="1" s="1"/>
  <c r="I114" i="1"/>
  <c r="J114" i="1" s="1"/>
  <c r="K114" i="1" s="1"/>
  <c r="E158" i="1"/>
  <c r="D158" i="1"/>
  <c r="E149" i="1"/>
  <c r="H149" i="1" s="1"/>
  <c r="D149" i="1"/>
  <c r="H87" i="1"/>
  <c r="H86" i="1"/>
  <c r="H497" i="1"/>
  <c r="H535" i="1" s="1"/>
  <c r="H538" i="1" s="1"/>
  <c r="H540" i="1" s="1"/>
  <c r="H542" i="1" s="1"/>
  <c r="H581" i="1" s="1"/>
  <c r="H583" i="1" s="1"/>
  <c r="H153" i="1"/>
  <c r="H158" i="1"/>
  <c r="H55" i="1"/>
  <c r="I309" i="1"/>
  <c r="G613" i="1"/>
  <c r="C614" i="1"/>
  <c r="D613" i="1"/>
  <c r="H613" i="1" s="1"/>
  <c r="G612" i="1"/>
  <c r="H566" i="1"/>
  <c r="H386" i="1"/>
  <c r="H388" i="1" s="1"/>
  <c r="H450" i="1" s="1"/>
  <c r="H565" i="1"/>
  <c r="H56" i="1"/>
  <c r="H57" i="1" s="1"/>
  <c r="H60" i="1" s="1"/>
  <c r="H61" i="1" s="1"/>
  <c r="K309" i="1"/>
  <c r="H154" i="1"/>
  <c r="H612" i="1"/>
  <c r="E612" i="1"/>
  <c r="M612" i="1" s="1"/>
  <c r="E159" i="1" l="1"/>
  <c r="H159" i="1" s="1"/>
  <c r="D159" i="1"/>
  <c r="E151" i="1"/>
  <c r="H151" i="1" s="1"/>
  <c r="D151" i="1"/>
  <c r="E150" i="1"/>
  <c r="H150" i="1" s="1"/>
  <c r="D150" i="1"/>
  <c r="E155" i="1"/>
  <c r="H155" i="1" s="1"/>
  <c r="D155" i="1"/>
  <c r="H88" i="1"/>
  <c r="H89" i="1" s="1"/>
  <c r="F149" i="1"/>
  <c r="F157" i="1"/>
  <c r="F158" i="1"/>
  <c r="F153" i="1"/>
  <c r="F154" i="1"/>
  <c r="H451" i="1"/>
  <c r="H452" i="1" s="1"/>
  <c r="E613" i="1"/>
  <c r="M613" i="1" s="1"/>
  <c r="H58" i="1"/>
  <c r="C615" i="1"/>
  <c r="D614" i="1"/>
  <c r="H614" i="1" s="1"/>
  <c r="G614" i="1"/>
  <c r="H634" i="1"/>
  <c r="H630" i="1"/>
  <c r="H707" i="1" l="1"/>
  <c r="H750" i="1"/>
  <c r="F150" i="1"/>
  <c r="F159" i="1"/>
  <c r="D161" i="1"/>
  <c r="H351" i="1" s="1"/>
  <c r="H352" i="1" s="1"/>
  <c r="H355" i="1" s="1"/>
  <c r="H357" i="1" s="1"/>
  <c r="H359" i="1" s="1"/>
  <c r="H446" i="1" s="1"/>
  <c r="H447" i="1" s="1"/>
  <c r="H448" i="1" s="1"/>
  <c r="F151" i="1"/>
  <c r="K306" i="1"/>
  <c r="J306" i="1"/>
  <c r="F155" i="1"/>
  <c r="H211" i="1"/>
  <c r="H214" i="1" s="1"/>
  <c r="H215" i="1" s="1"/>
  <c r="H216" i="1" s="1"/>
  <c r="H217" i="1" s="1"/>
  <c r="H219" i="1" s="1"/>
  <c r="H222" i="1" s="1"/>
  <c r="H186" i="1"/>
  <c r="H187" i="1" s="1"/>
  <c r="H188" i="1" s="1"/>
  <c r="H189" i="1" s="1"/>
  <c r="H62" i="1"/>
  <c r="E641" i="1" s="1"/>
  <c r="H98" i="1"/>
  <c r="H796" i="1"/>
  <c r="H781" i="1"/>
  <c r="H759" i="1"/>
  <c r="H751" i="1"/>
  <c r="H730" i="1"/>
  <c r="E614" i="1"/>
  <c r="M614" i="1" s="1"/>
  <c r="H686" i="1"/>
  <c r="H698" i="1" s="1"/>
  <c r="G615" i="1"/>
  <c r="C616" i="1"/>
  <c r="D615" i="1"/>
  <c r="H615" i="1" s="1"/>
  <c r="H71" i="1"/>
  <c r="H72" i="1" s="1"/>
  <c r="D649" i="1" l="1"/>
  <c r="H301" i="1"/>
  <c r="H670" i="1"/>
  <c r="N113" i="1"/>
  <c r="N118" i="1"/>
  <c r="N123" i="1"/>
  <c r="N114" i="1"/>
  <c r="N119" i="1"/>
  <c r="N112" i="1"/>
  <c r="N115" i="1"/>
  <c r="N121" i="1"/>
  <c r="N117" i="1"/>
  <c r="N122" i="1"/>
  <c r="L117" i="1"/>
  <c r="M117" i="1" s="1"/>
  <c r="R117" i="1" s="1"/>
  <c r="S117" i="1" s="1"/>
  <c r="L113" i="1"/>
  <c r="M113" i="1" s="1"/>
  <c r="R113" i="1" s="1"/>
  <c r="S113" i="1" s="1"/>
  <c r="L119" i="1"/>
  <c r="M119" i="1" s="1"/>
  <c r="R119" i="1" s="1"/>
  <c r="S119" i="1" s="1"/>
  <c r="L115" i="1"/>
  <c r="M115" i="1" s="1"/>
  <c r="R115" i="1" s="1"/>
  <c r="S115" i="1" s="1"/>
  <c r="T115" i="1" s="1"/>
  <c r="L118" i="1"/>
  <c r="M118" i="1" s="1"/>
  <c r="R118" i="1" s="1"/>
  <c r="S118" i="1" s="1"/>
  <c r="L112" i="1"/>
  <c r="M112" i="1" s="1"/>
  <c r="L121" i="1"/>
  <c r="M121" i="1" s="1"/>
  <c r="R121" i="1" s="1"/>
  <c r="S121" i="1" s="1"/>
  <c r="L122" i="1"/>
  <c r="M122" i="1" s="1"/>
  <c r="R122" i="1" s="1"/>
  <c r="S122" i="1" s="1"/>
  <c r="L123" i="1"/>
  <c r="M123" i="1" s="1"/>
  <c r="R123" i="1" s="1"/>
  <c r="S123" i="1" s="1"/>
  <c r="L114" i="1"/>
  <c r="M114" i="1" s="1"/>
  <c r="R114" i="1" s="1"/>
  <c r="S114" i="1" s="1"/>
  <c r="H191" i="1"/>
  <c r="H194" i="1" s="1"/>
  <c r="H758" i="1"/>
  <c r="H744" i="1"/>
  <c r="H742" i="1"/>
  <c r="E615" i="1"/>
  <c r="M615" i="1" s="1"/>
  <c r="H706" i="1"/>
  <c r="H700" i="1"/>
  <c r="H185" i="1"/>
  <c r="H213" i="1"/>
  <c r="H82" i="1"/>
  <c r="E130" i="1" s="1"/>
  <c r="H64" i="1"/>
  <c r="H65" i="1" s="1"/>
  <c r="C617" i="1"/>
  <c r="D616" i="1"/>
  <c r="H616" i="1" s="1"/>
  <c r="G616" i="1"/>
  <c r="H797" i="1"/>
  <c r="H790" i="1"/>
  <c r="H791" i="1"/>
  <c r="H806" i="1" s="1"/>
  <c r="I815" i="1" s="1"/>
  <c r="H671" i="1" l="1"/>
  <c r="H672" i="1"/>
  <c r="K308" i="1"/>
  <c r="I308" i="1"/>
  <c r="J308" i="1"/>
  <c r="H310" i="1"/>
  <c r="H308" i="1"/>
  <c r="J310" i="1"/>
  <c r="K310" i="1"/>
  <c r="I310" i="1"/>
  <c r="O121" i="1"/>
  <c r="I139" i="1"/>
  <c r="I135" i="1"/>
  <c r="I137" i="1"/>
  <c r="J139" i="1"/>
  <c r="J135" i="1"/>
  <c r="J137" i="1"/>
  <c r="C151" i="1"/>
  <c r="T114" i="1"/>
  <c r="C150" i="1"/>
  <c r="T113" i="1"/>
  <c r="O114" i="1"/>
  <c r="C159" i="1"/>
  <c r="T123" i="1"/>
  <c r="C154" i="1"/>
  <c r="T118" i="1"/>
  <c r="C153" i="1"/>
  <c r="T117" i="1"/>
  <c r="O115" i="1"/>
  <c r="O123" i="1"/>
  <c r="O112" i="1"/>
  <c r="R112" i="1"/>
  <c r="S112" i="1" s="1"/>
  <c r="C158" i="1"/>
  <c r="T122" i="1"/>
  <c r="U115" i="1"/>
  <c r="V115" i="1"/>
  <c r="O122" i="1"/>
  <c r="O118" i="1"/>
  <c r="C157" i="1"/>
  <c r="T121" i="1"/>
  <c r="C155" i="1"/>
  <c r="T119" i="1"/>
  <c r="O117" i="1"/>
  <c r="O119" i="1"/>
  <c r="O113" i="1"/>
  <c r="E616" i="1"/>
  <c r="M616" i="1" s="1"/>
  <c r="H244" i="1"/>
  <c r="H272" i="1"/>
  <c r="H90" i="1"/>
  <c r="H97" i="1" s="1"/>
  <c r="H393" i="1" s="1"/>
  <c r="H91" i="1"/>
  <c r="H190" i="1"/>
  <c r="H196" i="1" s="1"/>
  <c r="H198" i="1" s="1"/>
  <c r="H199" i="1" s="1"/>
  <c r="H832" i="1"/>
  <c r="E813" i="1"/>
  <c r="G617" i="1"/>
  <c r="C618" i="1"/>
  <c r="D617" i="1"/>
  <c r="H617" i="1" s="1"/>
  <c r="H218" i="1"/>
  <c r="H224" i="1" s="1"/>
  <c r="H226" i="1" s="1"/>
  <c r="H768" i="1"/>
  <c r="F649" i="1"/>
  <c r="H709" i="1" s="1"/>
  <c r="H717" i="1" s="1"/>
  <c r="I315" i="1" l="1"/>
  <c r="I316" i="1" s="1"/>
  <c r="I311" i="1"/>
  <c r="I314" i="1"/>
  <c r="H311" i="1"/>
  <c r="H315" i="1"/>
  <c r="H316" i="1" s="1"/>
  <c r="H314" i="1"/>
  <c r="K314" i="1"/>
  <c r="K311" i="1"/>
  <c r="K315" i="1"/>
  <c r="K316" i="1" s="1"/>
  <c r="J314" i="1"/>
  <c r="J315" i="1"/>
  <c r="J316" i="1" s="1"/>
  <c r="J311" i="1"/>
  <c r="C649" i="1"/>
  <c r="V114" i="1"/>
  <c r="U114" i="1"/>
  <c r="V119" i="1"/>
  <c r="U119" i="1"/>
  <c r="V122" i="1"/>
  <c r="U122" i="1"/>
  <c r="V118" i="1"/>
  <c r="U118" i="1"/>
  <c r="U113" i="1"/>
  <c r="V113" i="1"/>
  <c r="U121" i="1"/>
  <c r="V121" i="1"/>
  <c r="T112" i="1"/>
  <c r="U117" i="1"/>
  <c r="V117" i="1"/>
  <c r="V123" i="1"/>
  <c r="U123" i="1"/>
  <c r="H92" i="1"/>
  <c r="H200" i="1"/>
  <c r="H203" i="1"/>
  <c r="H769" i="1"/>
  <c r="H771" i="1" s="1"/>
  <c r="H753" i="1"/>
  <c r="H228" i="1"/>
  <c r="H230" i="1" s="1"/>
  <c r="H227" i="1"/>
  <c r="H231" i="1" s="1"/>
  <c r="C619" i="1"/>
  <c r="D618" i="1"/>
  <c r="H618" i="1" s="1"/>
  <c r="G618" i="1"/>
  <c r="H277" i="1"/>
  <c r="E617" i="1"/>
  <c r="M617" i="1" s="1"/>
  <c r="H394" i="1"/>
  <c r="H100" i="1"/>
  <c r="I325" i="1"/>
  <c r="I330" i="1" s="1"/>
  <c r="E128" i="1"/>
  <c r="H99" i="1"/>
  <c r="J100" i="1" s="1"/>
  <c r="H249" i="1"/>
  <c r="M673" i="1" l="1"/>
  <c r="H684" i="1"/>
  <c r="U112" i="1"/>
  <c r="V112" i="1"/>
  <c r="E618" i="1"/>
  <c r="M618" i="1" s="1"/>
  <c r="G99" i="1"/>
  <c r="J330" i="1"/>
  <c r="H399" i="1"/>
  <c r="H414" i="1"/>
  <c r="H420" i="1" s="1"/>
  <c r="H422" i="1" s="1"/>
  <c r="H424" i="1" s="1"/>
  <c r="G619" i="1"/>
  <c r="D619" i="1"/>
  <c r="H619" i="1" s="1"/>
  <c r="H266" i="1"/>
  <c r="B139" i="1"/>
  <c r="B135" i="1"/>
  <c r="H238" i="1"/>
  <c r="B137" i="1"/>
  <c r="H232" i="1"/>
  <c r="H233" i="1" s="1"/>
  <c r="H204" i="1"/>
  <c r="H205" i="1" s="1"/>
  <c r="E234" i="1" l="1"/>
  <c r="H646" i="1" s="1"/>
  <c r="H673" i="1" s="1"/>
  <c r="H279" i="1"/>
  <c r="H251" i="1"/>
  <c r="G135" i="1"/>
  <c r="H135" i="1" s="1"/>
  <c r="G139" i="1"/>
  <c r="H139" i="1" s="1"/>
  <c r="G137" i="1"/>
  <c r="H137" i="1" s="1"/>
  <c r="E619" i="1"/>
  <c r="M619" i="1" s="1"/>
  <c r="M620" i="1" s="1"/>
  <c r="M621" i="1" s="1"/>
  <c r="B621" i="1" s="1"/>
  <c r="H761" i="1"/>
  <c r="H280" i="1"/>
  <c r="H283" i="1" s="1"/>
  <c r="H285" i="1" s="1"/>
  <c r="H252" i="1"/>
  <c r="H255" i="1" s="1"/>
  <c r="H257" i="1" s="1"/>
  <c r="H103" i="1"/>
  <c r="H102" i="1"/>
  <c r="H799" i="1" l="1"/>
  <c r="K137" i="1"/>
  <c r="O137" i="1" s="1"/>
  <c r="P137" i="1" s="1"/>
  <c r="Q137" i="1" s="1"/>
  <c r="D171" i="1"/>
  <c r="E171" i="1"/>
  <c r="H171" i="1" s="1"/>
  <c r="K139" i="1"/>
  <c r="O139" i="1" s="1"/>
  <c r="P139" i="1" s="1"/>
  <c r="Q139" i="1" s="1"/>
  <c r="E173" i="1"/>
  <c r="H173" i="1" s="1"/>
  <c r="E175" i="1" s="1"/>
  <c r="D173" i="1"/>
  <c r="E169" i="1"/>
  <c r="H169" i="1" s="1"/>
  <c r="K135" i="1"/>
  <c r="O135" i="1" s="1"/>
  <c r="P135" i="1" s="1"/>
  <c r="Q135" i="1" s="1"/>
  <c r="D169" i="1"/>
  <c r="H708" i="1"/>
  <c r="H685" i="1"/>
  <c r="H674" i="1"/>
  <c r="L137" i="1" l="1"/>
  <c r="F171" i="1"/>
  <c r="F173" i="1"/>
  <c r="F169" i="1"/>
  <c r="L135" i="1"/>
  <c r="L139" i="1"/>
  <c r="H689" i="1"/>
  <c r="H688" i="1"/>
  <c r="H690" i="1"/>
  <c r="H691" i="1" s="1"/>
  <c r="H242" i="1"/>
  <c r="H401" i="1"/>
  <c r="H402" i="1" s="1"/>
  <c r="H404" i="1" s="1"/>
  <c r="H405" i="1" s="1"/>
  <c r="H407" i="1" s="1"/>
  <c r="H409" i="1" s="1"/>
  <c r="I322" i="1"/>
  <c r="H270" i="1"/>
  <c r="B169" i="1"/>
  <c r="C169" i="1"/>
  <c r="H710" i="1"/>
  <c r="E815" i="1" s="1"/>
  <c r="B171" i="1"/>
  <c r="C171" i="1"/>
  <c r="B173" i="1"/>
  <c r="C173" i="1"/>
  <c r="H752" i="1" l="1"/>
  <c r="H755" i="1" s="1"/>
  <c r="H735" i="1"/>
  <c r="H733" i="1"/>
  <c r="H734" i="1" s="1"/>
  <c r="H273" i="1"/>
  <c r="H287" i="1"/>
  <c r="H289" i="1" s="1"/>
  <c r="I331" i="1"/>
  <c r="I329" i="1"/>
  <c r="J331" i="1"/>
  <c r="J329" i="1"/>
  <c r="H245" i="1"/>
  <c r="H259" i="1"/>
  <c r="H261" i="1" s="1"/>
  <c r="H274" i="1" l="1"/>
  <c r="H275" i="1" s="1"/>
  <c r="H276" i="1" s="1"/>
  <c r="H246" i="1"/>
  <c r="H247" i="1" s="1"/>
  <c r="H248" i="1" s="1"/>
  <c r="J335" i="1"/>
  <c r="J336" i="1"/>
  <c r="J337" i="1" s="1"/>
  <c r="J332" i="1"/>
  <c r="I336" i="1"/>
  <c r="I337" i="1" s="1"/>
  <c r="I335" i="1"/>
  <c r="I332" i="1"/>
  <c r="H760" i="1"/>
  <c r="H864" i="1"/>
  <c r="H865" i="1" s="1"/>
  <c r="H258" i="1" l="1"/>
  <c r="H262" i="1" s="1"/>
  <c r="H263" i="1" s="1"/>
  <c r="H264" i="1" s="1"/>
  <c r="H250" i="1"/>
  <c r="H253" i="1" s="1"/>
  <c r="H278" i="1"/>
  <c r="H281" i="1" s="1"/>
  <c r="H286" i="1"/>
  <c r="H290" i="1" s="1"/>
  <c r="H291" i="1" s="1"/>
  <c r="H292" i="1" s="1"/>
  <c r="H782" i="1"/>
  <c r="H763" i="1"/>
  <c r="H836" i="1"/>
  <c r="G813" i="1"/>
  <c r="H294" i="1" l="1"/>
  <c r="J317" i="1" s="1"/>
  <c r="H840" i="1"/>
  <c r="G815" i="1"/>
  <c r="H798" i="1"/>
  <c r="H801" i="1" s="1"/>
  <c r="H804" i="1" s="1"/>
  <c r="H783" i="1"/>
  <c r="I317" i="1" l="1"/>
  <c r="K317" i="1"/>
  <c r="I338" i="1"/>
  <c r="H317" i="1"/>
  <c r="J338" i="1"/>
  <c r="H844" i="1"/>
  <c r="I813" i="1"/>
</calcChain>
</file>

<file path=xl/sharedStrings.xml><?xml version="1.0" encoding="utf-8"?>
<sst xmlns="http://schemas.openxmlformats.org/spreadsheetml/2006/main" count="1148" uniqueCount="513">
  <si>
    <t>Design of Barrage</t>
  </si>
  <si>
    <t>Input Design Data</t>
  </si>
  <si>
    <t>cusecs</t>
  </si>
  <si>
    <t xml:space="preserve">Minimum Discharge, Qmin </t>
  </si>
  <si>
    <t xml:space="preserve">River Bed Level, RBL </t>
  </si>
  <si>
    <t>ft</t>
  </si>
  <si>
    <t xml:space="preserve">High Flood Level, HFL </t>
  </si>
  <si>
    <t>Lowest water level, LWL</t>
  </si>
  <si>
    <t>Maximum Discharge of one Canal</t>
  </si>
  <si>
    <t>Slope of river</t>
  </si>
  <si>
    <t>ft/mile</t>
  </si>
  <si>
    <t>1- Minimum Stable Wetted Perimeter</t>
  </si>
  <si>
    <t xml:space="preserve">Wetted perimeter, Pw = 2.67√ Qmax </t>
  </si>
  <si>
    <t>Width between abutment, Wa = LLC x Pw</t>
  </si>
  <si>
    <t>Number of bays</t>
  </si>
  <si>
    <t>Bay width</t>
  </si>
  <si>
    <t>Number of fish ladder</t>
  </si>
  <si>
    <t>Width of one fish ladder</t>
  </si>
  <si>
    <t>Number of divide walls</t>
  </si>
  <si>
    <t>Width of one divide wall</t>
  </si>
  <si>
    <t>Total number of piers</t>
  </si>
  <si>
    <t>Total width of piers</t>
  </si>
  <si>
    <t>cusecs/ft</t>
  </si>
  <si>
    <t>2- Calculation of Lacey's Silt Factor</t>
  </si>
  <si>
    <t>S = (1/1844) x f^5/3 / Q^1/6</t>
  </si>
  <si>
    <t>Lacey's silt factor, f</t>
  </si>
  <si>
    <t>3- Fixation of Crest Level</t>
  </si>
  <si>
    <t>Afflux</t>
  </si>
  <si>
    <t xml:space="preserve">Height of crest above river bed, P </t>
  </si>
  <si>
    <t>Scour depth, R = 0.9(qabt^2 / f)^1/3</t>
  </si>
  <si>
    <t>Depth of water above crest, Ho = R- P</t>
  </si>
  <si>
    <t>Approach velocity, Vo = qabt / R</t>
  </si>
  <si>
    <t>ft/s</t>
  </si>
  <si>
    <t>Energy head, ho = Vo^2 / 2g</t>
  </si>
  <si>
    <t>Eo = Ho + ho</t>
  </si>
  <si>
    <t>Do = HFL - RBL</t>
  </si>
  <si>
    <t>E1 = Do + ho + Afflux</t>
  </si>
  <si>
    <t>Level of E1 = RBL + E1</t>
  </si>
  <si>
    <t>Crest level = Level of E1 - Eo</t>
  </si>
  <si>
    <t>Using Gibson Curve</t>
  </si>
  <si>
    <t xml:space="preserve">h / Eo </t>
  </si>
  <si>
    <t>C' / C</t>
  </si>
  <si>
    <t>C' = (C'/C) x C</t>
  </si>
  <si>
    <t>Q = C' x W clear x Eo^3/2</t>
  </si>
  <si>
    <t>4- Design of Undersluices</t>
  </si>
  <si>
    <t>Number of undersluices (N1)</t>
  </si>
  <si>
    <t>%</t>
  </si>
  <si>
    <t xml:space="preserve">Crest level of undersluices </t>
  </si>
  <si>
    <t>Do, (may be Do = R)</t>
  </si>
  <si>
    <t>ft/sec</t>
  </si>
  <si>
    <t>Maximum U/S E.L = HFL + Afflux + ho</t>
  </si>
  <si>
    <t>Eo = U/S E.L - Crest Level</t>
  </si>
  <si>
    <t>h = (U/S E.L - Afflux) - Crest level</t>
  </si>
  <si>
    <t>h / Eo</t>
  </si>
  <si>
    <t>Hence</t>
  </si>
  <si>
    <t>Crest Level of Undersluices</t>
  </si>
  <si>
    <t>Number of Bays on Each Side</t>
  </si>
  <si>
    <t>5- Determination of Water Levels and Energy Levels</t>
  </si>
  <si>
    <t>5.1 Check for main weir</t>
  </si>
  <si>
    <t>Q</t>
  </si>
  <si>
    <t>DSWL</t>
  </si>
  <si>
    <t>USWL</t>
  </si>
  <si>
    <t>D</t>
  </si>
  <si>
    <t>Vo</t>
  </si>
  <si>
    <t>ho</t>
  </si>
  <si>
    <t>h</t>
  </si>
  <si>
    <t>Ho</t>
  </si>
  <si>
    <t>Eo</t>
  </si>
  <si>
    <t>h/Eo</t>
  </si>
  <si>
    <t>C'/C</t>
  </si>
  <si>
    <t>C'</t>
  </si>
  <si>
    <t>(USWL-RBL)</t>
  </si>
  <si>
    <t>(DSWL-CL)</t>
  </si>
  <si>
    <t>(USWL-CL)</t>
  </si>
  <si>
    <t>(USWL+ho-CL)</t>
  </si>
  <si>
    <t>(Gibson)</t>
  </si>
  <si>
    <t>(cusecs)</t>
  </si>
  <si>
    <t>(ft)</t>
  </si>
  <si>
    <t>(ft/s)</t>
  </si>
  <si>
    <t>(cusecs/ft)</t>
  </si>
  <si>
    <t>For accreted state</t>
  </si>
  <si>
    <t>5.2 Check for undersluices</t>
  </si>
  <si>
    <t>For normal state</t>
  </si>
  <si>
    <t>For Retrogressed state</t>
  </si>
  <si>
    <t>6- Fixation  of d/s Floor Levels and Length of d/s Glacis and d/s Floor</t>
  </si>
  <si>
    <t>6.1 Fixation of d/s floor levels for normal weir section using blench curves</t>
  </si>
  <si>
    <t>USEL</t>
  </si>
  <si>
    <t>DSEL</t>
  </si>
  <si>
    <t>DSFL</t>
  </si>
  <si>
    <t>(USWL+ho)</t>
  </si>
  <si>
    <t>(DSWL +ho)</t>
  </si>
  <si>
    <t>(USEL-DSEL)</t>
  </si>
  <si>
    <t>(blench curve)</t>
  </si>
  <si>
    <t>Normal state of river</t>
  </si>
  <si>
    <t>For Retrogressed state of river</t>
  </si>
  <si>
    <t>For accreted state of river</t>
  </si>
  <si>
    <t xml:space="preserve">Hence </t>
  </si>
  <si>
    <t>d/s Floor level</t>
  </si>
  <si>
    <t>6.2 Fixation of d/s floor levels for undersluices using blench curves</t>
  </si>
  <si>
    <t>d/s Floor level for undersluices</t>
  </si>
  <si>
    <t>7- Fixation of d/s floor level for normal barrage section using</t>
  </si>
  <si>
    <t>Crump's method and determination of floor length</t>
  </si>
  <si>
    <t>Maximum DSWL</t>
  </si>
  <si>
    <t>RBL</t>
  </si>
  <si>
    <t>Crest level</t>
  </si>
  <si>
    <t>Dpool (Max. DSWL - DSFL)</t>
  </si>
  <si>
    <t>d/s Velocity (Q/(Dpool x Wa)</t>
  </si>
  <si>
    <t>DSEL (DSWL + velocity head)</t>
  </si>
  <si>
    <t>K (USEL - Crest Level )</t>
  </si>
  <si>
    <t>L (USEL - DSEL )</t>
  </si>
  <si>
    <t>q (Q / Total width of bays)</t>
  </si>
  <si>
    <t>L/C</t>
  </si>
  <si>
    <t>(K+F)/C ,(from crumps curve)</t>
  </si>
  <si>
    <t>F, [(K+F)/C x C - K]</t>
  </si>
  <si>
    <t>Level of intersection of jump with glacis</t>
  </si>
  <si>
    <t>= Crest level - F</t>
  </si>
  <si>
    <t xml:space="preserve">Slope of d/s glacis </t>
  </si>
  <si>
    <t>1:</t>
  </si>
  <si>
    <t>Length of glacis d/s of jump, (slope x submergency)</t>
  </si>
  <si>
    <t>Say</t>
  </si>
  <si>
    <t>b)</t>
  </si>
  <si>
    <t>Minimum DSWL</t>
  </si>
  <si>
    <t>Dpool (Min. DSWL - DSFL)</t>
  </si>
  <si>
    <t>DSEL, (DSWL + velocity head)</t>
  </si>
  <si>
    <t>8 - Fixation of d/s floor length for undersluices</t>
  </si>
  <si>
    <t>a)</t>
  </si>
  <si>
    <t>Hence we shall provide d/s floor length =</t>
  </si>
  <si>
    <t>9- Check for Adequacy for d/s floor levels using conjugate depth method.</t>
  </si>
  <si>
    <t>9.1 For normal weir section</t>
  </si>
  <si>
    <t>Ф</t>
  </si>
  <si>
    <t>Discharge in river, Q (cusecs)</t>
  </si>
  <si>
    <t>max.</t>
  </si>
  <si>
    <t>min.</t>
  </si>
  <si>
    <t>USEL (ft)</t>
  </si>
  <si>
    <t>DSWL (ft)</t>
  </si>
  <si>
    <t>E = USEL - DSFL</t>
  </si>
  <si>
    <t>Conjugate depth coefficients</t>
  </si>
  <si>
    <t>z</t>
  </si>
  <si>
    <t>z'</t>
  </si>
  <si>
    <t xml:space="preserve"> </t>
  </si>
  <si>
    <t>Conjugate depths</t>
  </si>
  <si>
    <t>Remarks</t>
  </si>
  <si>
    <t>9.2 For undersluices section</t>
  </si>
  <si>
    <t>Discharge through U.S with 20% concentration, (1.2 x (Q1 + Q2))</t>
  </si>
  <si>
    <t>Max.</t>
  </si>
  <si>
    <t>Min.</t>
  </si>
  <si>
    <t>E = USEL - DSFL (ft)</t>
  </si>
  <si>
    <t>10 - Scour Protection</t>
  </si>
  <si>
    <t>For main weir</t>
  </si>
  <si>
    <t>Assume flow concentration</t>
  </si>
  <si>
    <t>q = Qmax /(total width of bays) x 1.2</t>
  </si>
  <si>
    <t>10.1 - d/s scour protection for main weir</t>
  </si>
  <si>
    <t>Safety factor for d/s floor critical condition</t>
  </si>
  <si>
    <t>Depth, R' = safety factor x R</t>
  </si>
  <si>
    <t>d/s appron (floor) level, (DSFL)</t>
  </si>
  <si>
    <t xml:space="preserve">Depth of water on apron (Min DSWL - DSFL) </t>
  </si>
  <si>
    <t>Increase in depth due to concentration</t>
  </si>
  <si>
    <t>Depth of water with concentration, D'</t>
  </si>
  <si>
    <t>Depth of scour below apron = R' - D'</t>
  </si>
  <si>
    <t>Slope of protection</t>
  </si>
  <si>
    <t xml:space="preserve">Length of d/s stone apron in horizontal position </t>
  </si>
  <si>
    <t>= length of apron x (1.25t/1.75t)</t>
  </si>
  <si>
    <t>10.2 U/s Scour Protection for main weir</t>
  </si>
  <si>
    <t>Safety factor for u/s floor critical condition</t>
  </si>
  <si>
    <t>R' = Safety factor x R</t>
  </si>
  <si>
    <t>U/s apron level, (RBL)</t>
  </si>
  <si>
    <t>Depth of water on apron = USWL -RBL</t>
  </si>
  <si>
    <t>Total depth with concentration, D'</t>
  </si>
  <si>
    <t xml:space="preserve">Length of u/s stone apron in horizontal position </t>
  </si>
  <si>
    <t>For undersluices</t>
  </si>
  <si>
    <t>10.3 - d/s scour protection for undersluices</t>
  </si>
  <si>
    <t>10.4 U/s Scour Protection for undersluices</t>
  </si>
  <si>
    <t xml:space="preserve">10.5 - Thickness of Aprons </t>
  </si>
  <si>
    <t>of various grades of sand and slope of rivers.</t>
  </si>
  <si>
    <t>Fall in inches/mile</t>
  </si>
  <si>
    <t>Sand classification</t>
  </si>
  <si>
    <t>Thickness of stone pitching in inches</t>
  </si>
  <si>
    <t>Very coarse</t>
  </si>
  <si>
    <t>Coarse</t>
  </si>
  <si>
    <t>Medium</t>
  </si>
  <si>
    <t>Fine</t>
  </si>
  <si>
    <t>Very fine</t>
  </si>
  <si>
    <t>Type of soil</t>
  </si>
  <si>
    <t>Medium sand</t>
  </si>
  <si>
    <t>in/mile</t>
  </si>
  <si>
    <t>in</t>
  </si>
  <si>
    <t>Thickness of stone apron in horizontal position = 1.75xt/slope</t>
  </si>
  <si>
    <t>Size of concrete blocks over filter</t>
  </si>
  <si>
    <t>ft cube</t>
  </si>
  <si>
    <t>Summary</t>
  </si>
  <si>
    <t xml:space="preserve">Total Length of d/s stone apron </t>
  </si>
  <si>
    <t>ft Thick bloke apron = 1/3 x total length</t>
  </si>
  <si>
    <t>ft (block= 4'x4'x4')</t>
  </si>
  <si>
    <t>ft Thick stone apron</t>
  </si>
  <si>
    <t>Total length of u/s apron</t>
  </si>
  <si>
    <t>11 - Inverted Filter Design</t>
  </si>
  <si>
    <t>Size of Concrete blocks</t>
  </si>
  <si>
    <t>Thickness of shingle (3' - 6")</t>
  </si>
  <si>
    <t>Thickness of coarse shingle (3/4" - 3")</t>
  </si>
  <si>
    <t>Thickness of fine shingle (3/16" - 3/4")</t>
  </si>
  <si>
    <t>Spacing b/w conc. Blocks filled with fine shingle</t>
  </si>
  <si>
    <t>12- Design of guide banks</t>
  </si>
  <si>
    <t>i)</t>
  </si>
  <si>
    <t>ii)</t>
  </si>
  <si>
    <t>iii)</t>
  </si>
  <si>
    <t>For the nose of the u/s guide bank and the full length of d/s</t>
  </si>
  <si>
    <t>guide bank use Lacey's depth = 1.75 x R</t>
  </si>
  <si>
    <t xml:space="preserve">  </t>
  </si>
  <si>
    <t>For remaining u/s guide bank lacey's depth = 1.25 x R</t>
  </si>
  <si>
    <t>iv)</t>
  </si>
  <si>
    <t>Possible slope of scour</t>
  </si>
  <si>
    <t>v)</t>
  </si>
  <si>
    <t>Free board u/s</t>
  </si>
  <si>
    <t>ft above HFL</t>
  </si>
  <si>
    <t>Free board d/s</t>
  </si>
  <si>
    <t>These free boards also include allowance for accretion.</t>
  </si>
  <si>
    <t>vi)</t>
  </si>
  <si>
    <t>Top of guide bank</t>
  </si>
  <si>
    <t>vii)</t>
  </si>
  <si>
    <t>Side slope of guide bank</t>
  </si>
  <si>
    <t>viii)</t>
  </si>
  <si>
    <t>Minimum apron thickness</t>
  </si>
  <si>
    <t>Length of barrage, Wa</t>
  </si>
  <si>
    <t>Length of u/s guide bank</t>
  </si>
  <si>
    <t>Length of d/s guide bank</t>
  </si>
  <si>
    <t>Radius of u/s curved part</t>
  </si>
  <si>
    <t>Radius of d/s curved part</t>
  </si>
  <si>
    <t>Maximum u/s angle protected</t>
  </si>
  <si>
    <t>Maximum d/s angle protected</t>
  </si>
  <si>
    <t>12.1 Determination of levels of guide banks</t>
  </si>
  <si>
    <t>Merrimen's backwater formula</t>
  </si>
  <si>
    <t>L = length of back water curve</t>
  </si>
  <si>
    <t>Chezy's Coefficient, C</t>
  </si>
  <si>
    <t>( max for earthen channels)</t>
  </si>
  <si>
    <t>Bed slope of river, S</t>
  </si>
  <si>
    <t>1/</t>
  </si>
  <si>
    <t>D/s HFL with accretion</t>
  </si>
  <si>
    <t>D = D/s HFL with accretion - RBL</t>
  </si>
  <si>
    <t>U/s HFL with accretion</t>
  </si>
  <si>
    <t>L</t>
  </si>
  <si>
    <t>Rise in RBL = Length of guide bank / slope</t>
  </si>
  <si>
    <t>from barrage level</t>
  </si>
  <si>
    <t>= RBL + Rise in RBL + d2</t>
  </si>
  <si>
    <t>Level at the nose of u/s guide bank = W/L + free board</t>
  </si>
  <si>
    <t>Level at the barrage = HFL + free board</t>
  </si>
  <si>
    <t xml:space="preserve">Water level d/s of barrage </t>
  </si>
  <si>
    <t>D/s free board</t>
  </si>
  <si>
    <t>Level of guide bank d/s = W/L + Free board</t>
  </si>
  <si>
    <t>13 - Design of Guide Bank Apron</t>
  </si>
  <si>
    <t>Working on same lines as in section 10,</t>
  </si>
  <si>
    <t>Length of unlanched horizontal apron = 2.5(R' - D')</t>
  </si>
  <si>
    <t>Length of launched apron at 1:3 slope = 3.16(R' - D')</t>
  </si>
  <si>
    <t>inches</t>
  </si>
  <si>
    <t xml:space="preserve">say </t>
  </si>
  <si>
    <t>Volume of stones in apron = t x length launched apron</t>
  </si>
  <si>
    <t>Minimum thickness of unlaunched apron = 1.07t</t>
  </si>
  <si>
    <t>Mean thickness of unlaunched apron = volume/ 2.5(R' - D')</t>
  </si>
  <si>
    <t>14 - Design of Marginal Bunds</t>
  </si>
  <si>
    <t>Top level above estimated HFL after allowing 1.5ft accretion</t>
  </si>
  <si>
    <t xml:space="preserve">Back slope to be such as to provide minimum cover of 2 ft, </t>
  </si>
  <si>
    <t>over hydraulic gradient of 1:6</t>
  </si>
  <si>
    <t>U/s water level at nose of guide bank</t>
  </si>
  <si>
    <t>Free board of marginal bund</t>
  </si>
  <si>
    <t>Hence level of marginal bund</t>
  </si>
  <si>
    <t>Calculation of length of backwater curve:</t>
  </si>
  <si>
    <t>Merrimen's equation can be used to calculate backwater length</t>
  </si>
  <si>
    <t>Normal W.L without weir</t>
  </si>
  <si>
    <t>D = Normal W.L - RBL</t>
  </si>
  <si>
    <t>Slope</t>
  </si>
  <si>
    <t>Table for length of backwater curve</t>
  </si>
  <si>
    <t>(5)x(10)</t>
  </si>
  <si>
    <t>x(1)</t>
  </si>
  <si>
    <t>=(11)+(4)</t>
  </si>
  <si>
    <t>Total</t>
  </si>
  <si>
    <t>miles</t>
  </si>
  <si>
    <t>Part II</t>
  </si>
  <si>
    <t xml:space="preserve">Design of barrage profile for sub surface flow condition </t>
  </si>
  <si>
    <t>15 - Fixing of Depth of Sheet Piles</t>
  </si>
  <si>
    <t>Scour depth, R</t>
  </si>
  <si>
    <t>Depth of u/s sheet pile from HFL = 1.5 R</t>
  </si>
  <si>
    <t>Depth of d/s sheet pile below HFL = 2R</t>
  </si>
  <si>
    <t>RL of bottom of intermediate sheet pile = Max. USWL - 2R</t>
  </si>
  <si>
    <t>A</t>
  </si>
  <si>
    <t xml:space="preserve">   K</t>
  </si>
  <si>
    <t>B</t>
  </si>
  <si>
    <t>L        N</t>
  </si>
  <si>
    <t xml:space="preserve">     P    R</t>
  </si>
  <si>
    <t xml:space="preserve">   M</t>
  </si>
  <si>
    <t xml:space="preserve">      Q</t>
  </si>
  <si>
    <t>16 - Calculation of Exit Gradient</t>
  </si>
  <si>
    <t>Total length of concrete floor = b</t>
  </si>
  <si>
    <t>α = b/d</t>
  </si>
  <si>
    <t xml:space="preserve">form </t>
  </si>
  <si>
    <t>α ~</t>
  </si>
  <si>
    <t>curve</t>
  </si>
  <si>
    <t>17 - Calculation of Uplift Pressure After Applying Correction</t>
  </si>
  <si>
    <t>17.1 U/s pile line:</t>
  </si>
  <si>
    <t>Total length of concrete floor, b</t>
  </si>
  <si>
    <t>Depth of u/s sheet pile,d</t>
  </si>
  <si>
    <t>=</t>
  </si>
  <si>
    <t>From khosla's curve</t>
  </si>
  <si>
    <t>100 -</t>
  </si>
  <si>
    <t xml:space="preserve">= </t>
  </si>
  <si>
    <t>Correction for floor thickness</t>
  </si>
  <si>
    <t>Correction in</t>
  </si>
  <si>
    <t>-ve</t>
  </si>
  <si>
    <t>Correction for interface of sheet pile</t>
  </si>
  <si>
    <t xml:space="preserve">Correction in </t>
  </si>
  <si>
    <t xml:space="preserve">due to second pile = </t>
  </si>
  <si>
    <t>D = RBL - RL of bottom of second pile</t>
  </si>
  <si>
    <t>Distance between two piles, b'</t>
  </si>
  <si>
    <t>+ve</t>
  </si>
  <si>
    <t xml:space="preserve">Slope correction for </t>
  </si>
  <si>
    <t xml:space="preserve">Correction for </t>
  </si>
  <si>
    <t>Correted</t>
  </si>
  <si>
    <t xml:space="preserve">Corrected </t>
  </si>
  <si>
    <t>17.2 Intermediate sheet pile at toe of d/s glacis:</t>
  </si>
  <si>
    <t>Assume floor thickness</t>
  </si>
  <si>
    <t>RL of intermediate sheet pile</t>
  </si>
  <si>
    <t>d = DSFL - RL of Intermediate sheet pile</t>
  </si>
  <si>
    <t>Correction due to floor thickness</t>
  </si>
  <si>
    <t>Correction due to interference of pile</t>
  </si>
  <si>
    <t>Correction in        due to u/s sheet pile</t>
  </si>
  <si>
    <t>Depth of Intermediate sheet pile,d</t>
  </si>
  <si>
    <t>D = RBL - RL of bottom of u/s sheet pile</t>
  </si>
  <si>
    <t>Correction in        =</t>
  </si>
  <si>
    <t>Correction in          due to d/s sheet pile =</t>
  </si>
  <si>
    <t>D = DSFL - RL of bottom of d/s sheet pile</t>
  </si>
  <si>
    <t xml:space="preserve">Correction in        = </t>
  </si>
  <si>
    <t>Corrected</t>
  </si>
  <si>
    <t>17.3 D/s sheet pile at the end of impervious floor</t>
  </si>
  <si>
    <t>Depth of d/s sheet pile, d</t>
  </si>
  <si>
    <t>Correction due to interface of piles</t>
  </si>
  <si>
    <t>Depth of d/s sheet pile,d</t>
  </si>
  <si>
    <t>D = DSFL - RL of bottom of intermediate sheet pile</t>
  </si>
  <si>
    <t>Correction in         =</t>
  </si>
  <si>
    <t>Table: Uplift pressure at E, D, C and along the sheet piles</t>
  </si>
  <si>
    <t>Symbol used in</t>
  </si>
  <si>
    <t xml:space="preserve">u/s Pile </t>
  </si>
  <si>
    <t xml:space="preserve">Intermediate </t>
  </si>
  <si>
    <t>d/s Pile</t>
  </si>
  <si>
    <t>Khosla cueve</t>
  </si>
  <si>
    <t>line</t>
  </si>
  <si>
    <t>Line</t>
  </si>
  <si>
    <t>18 - Calculation For Floor Thickness:</t>
  </si>
  <si>
    <t>where</t>
  </si>
  <si>
    <t>H = Maximum differential head causing seepage</t>
  </si>
  <si>
    <t xml:space="preserve">G = Specific gravity of concrete </t>
  </si>
  <si>
    <t>Thickness of floor at A</t>
  </si>
  <si>
    <t>Assumend thickness</t>
  </si>
  <si>
    <t>H</t>
  </si>
  <si>
    <t>Thickness from uplift pressure</t>
  </si>
  <si>
    <t>say</t>
  </si>
  <si>
    <t>Thickness of floor at L</t>
  </si>
  <si>
    <t>c)</t>
  </si>
  <si>
    <t>Thickness of floor at N</t>
  </si>
  <si>
    <t>d)</t>
  </si>
  <si>
    <t>Thickness of floor at P</t>
  </si>
  <si>
    <t>e)</t>
  </si>
  <si>
    <t>Thickness of floor at crest</t>
  </si>
  <si>
    <t>Uplift pressure at crest</t>
  </si>
  <si>
    <t>Thickness of floor at crest d/s of gate</t>
  </si>
  <si>
    <t>Regd no.=</t>
  </si>
  <si>
    <t>Numbers of canals on left bank</t>
  </si>
  <si>
    <t>Numbers of canals on right bank</t>
  </si>
  <si>
    <t>Total width of divide walls</t>
  </si>
  <si>
    <t>Width of one pier</t>
  </si>
  <si>
    <t>Discharge over crest, qcrest</t>
  </si>
  <si>
    <t>Submergency of weir,h = d/s WL -  Crest Level</t>
  </si>
  <si>
    <t>Coefficient of discharge,C=</t>
  </si>
  <si>
    <t>Lacey's Looseness Coefficient, LLC=Total Wa/Pw</t>
  </si>
  <si>
    <t>Difference of crest level between undersluices &amp; main weir</t>
  </si>
  <si>
    <t>Flow through undesluices as % of main weir,qus=</t>
  </si>
  <si>
    <t>Wclear = N1 xN2 xBay width</t>
  </si>
  <si>
    <t>%water passing through undersluices=(Q1+Q3)/Qmain weir*100</t>
  </si>
  <si>
    <t>Number of bays for each undersluices (N2)</t>
  </si>
  <si>
    <t>(Vo^2/2g)</t>
  </si>
  <si>
    <r>
      <t>Discharge between abutments, q</t>
    </r>
    <r>
      <rPr>
        <sz val="10"/>
        <rFont val="Times New Roman"/>
        <family val="1"/>
      </rPr>
      <t>abt</t>
    </r>
  </si>
  <si>
    <r>
      <t xml:space="preserve">Maximum d/s water level </t>
    </r>
    <r>
      <rPr>
        <sz val="8"/>
        <rFont val="Times New Roman"/>
        <family val="1"/>
      </rPr>
      <t>(from curve for barrage stage discharge,normal state)</t>
    </r>
  </si>
  <si>
    <r>
      <t>q</t>
    </r>
    <r>
      <rPr>
        <sz val="10"/>
        <rFont val="Times New Roman"/>
        <family val="1"/>
      </rPr>
      <t xml:space="preserve">us = </t>
    </r>
    <r>
      <rPr>
        <sz val="12"/>
        <rFont val="Times New Roman"/>
        <family val="1"/>
      </rPr>
      <t xml:space="preserve">% flow x  q </t>
    </r>
    <r>
      <rPr>
        <sz val="10"/>
        <rFont val="Times New Roman"/>
        <family val="1"/>
      </rPr>
      <t>weir</t>
    </r>
  </si>
  <si>
    <r>
      <t>Approach velocity, Vo = q</t>
    </r>
    <r>
      <rPr>
        <sz val="10"/>
        <rFont val="Times New Roman"/>
        <family val="1"/>
      </rPr>
      <t>us</t>
    </r>
    <r>
      <rPr>
        <sz val="12"/>
        <rFont val="Times New Roman"/>
        <family val="1"/>
      </rPr>
      <t xml:space="preserve"> / R</t>
    </r>
  </si>
  <si>
    <r>
      <t>Q</t>
    </r>
    <r>
      <rPr>
        <sz val="10"/>
        <rFont val="Times New Roman"/>
        <family val="1"/>
      </rPr>
      <t>1</t>
    </r>
    <r>
      <rPr>
        <sz val="12"/>
        <rFont val="Times New Roman"/>
        <family val="1"/>
      </rPr>
      <t xml:space="preserve"> &amp; Q</t>
    </r>
    <r>
      <rPr>
        <sz val="10"/>
        <rFont val="Times New Roman"/>
        <family val="1"/>
      </rPr>
      <t xml:space="preserve">3,   </t>
    </r>
    <r>
      <rPr>
        <sz val="12"/>
        <rFont val="Times New Roman"/>
        <family val="1"/>
      </rPr>
      <t xml:space="preserve"> (</t>
    </r>
    <r>
      <rPr>
        <sz val="10"/>
        <rFont val="Times New Roman"/>
        <family val="1"/>
      </rPr>
      <t xml:space="preserve"> </t>
    </r>
    <r>
      <rPr>
        <sz val="12"/>
        <rFont val="Times New Roman"/>
        <family val="1"/>
      </rPr>
      <t>Q = C' x W</t>
    </r>
    <r>
      <rPr>
        <sz val="10"/>
        <rFont val="Times New Roman"/>
        <family val="1"/>
      </rPr>
      <t>clear</t>
    </r>
    <r>
      <rPr>
        <sz val="12"/>
        <rFont val="Times New Roman"/>
        <family val="1"/>
      </rPr>
      <t xml:space="preserve"> x Eo^3/2)</t>
    </r>
  </si>
  <si>
    <r>
      <t xml:space="preserve">Q </t>
    </r>
    <r>
      <rPr>
        <sz val="9"/>
        <rFont val="Times New Roman"/>
        <family val="1"/>
      </rPr>
      <t>main weir</t>
    </r>
    <r>
      <rPr>
        <sz val="11"/>
        <rFont val="Times New Roman"/>
        <family val="1"/>
      </rPr>
      <t xml:space="preserve"> = C' x (W</t>
    </r>
    <r>
      <rPr>
        <sz val="9"/>
        <rFont val="Times New Roman"/>
        <family val="1"/>
      </rPr>
      <t>clear(bays)</t>
    </r>
    <r>
      <rPr>
        <sz val="11"/>
        <rFont val="Times New Roman"/>
        <family val="1"/>
      </rPr>
      <t xml:space="preserve"> - W</t>
    </r>
    <r>
      <rPr>
        <sz val="9"/>
        <rFont val="Times New Roman"/>
        <family val="1"/>
      </rPr>
      <t xml:space="preserve">clear( us) </t>
    </r>
    <r>
      <rPr>
        <sz val="11"/>
        <rFont val="Times New Roman"/>
        <family val="1"/>
      </rPr>
      <t>)x Eo^</t>
    </r>
    <r>
      <rPr>
        <sz val="9"/>
        <rFont val="Times New Roman"/>
        <family val="1"/>
      </rPr>
      <t>3/2</t>
    </r>
  </si>
  <si>
    <r>
      <t>Total Discharge = Q</t>
    </r>
    <r>
      <rPr>
        <sz val="10"/>
        <rFont val="Times New Roman"/>
        <family val="1"/>
      </rPr>
      <t xml:space="preserve">1 </t>
    </r>
    <r>
      <rPr>
        <sz val="12"/>
        <rFont val="Times New Roman"/>
        <family val="1"/>
      </rPr>
      <t>+ Q</t>
    </r>
    <r>
      <rPr>
        <sz val="10"/>
        <rFont val="Times New Roman"/>
        <family val="1"/>
      </rPr>
      <t>3</t>
    </r>
    <r>
      <rPr>
        <sz val="12"/>
        <rFont val="Times New Roman"/>
        <family val="1"/>
      </rPr>
      <t xml:space="preserve"> + Q </t>
    </r>
    <r>
      <rPr>
        <sz val="10"/>
        <rFont val="Times New Roman"/>
        <family val="1"/>
      </rPr>
      <t>main weir</t>
    </r>
  </si>
  <si>
    <r>
      <t>q</t>
    </r>
    <r>
      <rPr>
        <b/>
        <vertAlign val="subscript"/>
        <sz val="12"/>
        <rFont val="Times New Roman"/>
        <family val="1"/>
      </rPr>
      <t>clear</t>
    </r>
  </si>
  <si>
    <r>
      <t>h</t>
    </r>
    <r>
      <rPr>
        <b/>
        <vertAlign val="subscript"/>
        <sz val="12"/>
        <rFont val="Times New Roman"/>
        <family val="1"/>
      </rPr>
      <t>L</t>
    </r>
  </si>
  <si>
    <r>
      <t>E</t>
    </r>
    <r>
      <rPr>
        <b/>
        <vertAlign val="subscript"/>
        <sz val="12"/>
        <rFont val="Times New Roman"/>
        <family val="1"/>
      </rPr>
      <t>2</t>
    </r>
  </si>
  <si>
    <r>
      <t>(DSEL - E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</si>
  <si>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d/s velocity head (V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/2g)</t>
    </r>
  </si>
  <si>
    <r>
      <t>Critical Depth, C, (q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/ g)</t>
    </r>
    <r>
      <rPr>
        <vertAlign val="superscript"/>
        <sz val="12"/>
        <rFont val="Times New Roman"/>
        <family val="1"/>
      </rPr>
      <t>1/3</t>
    </r>
  </si>
  <si>
    <r>
      <t>E</t>
    </r>
    <r>
      <rPr>
        <vertAlign val="subscript"/>
        <sz val="12"/>
        <rFont val="Times New Roman"/>
        <family val="1"/>
      </rPr>
      <t xml:space="preserve">2,  </t>
    </r>
    <r>
      <rPr>
        <sz val="12"/>
        <rFont val="Times New Roman"/>
        <family val="1"/>
      </rPr>
      <t>( DSEL - Level of intersection of jump)</t>
    </r>
  </si>
  <si>
    <r>
      <t>Submergency of jump,</t>
    </r>
    <r>
      <rPr>
        <sz val="8"/>
        <rFont val="Times New Roman"/>
        <family val="1"/>
      </rPr>
      <t xml:space="preserve"> (Level of intersection of jump - DSFL )</t>
    </r>
  </si>
  <si>
    <r>
      <t>Length of stilling pool, (4.5 x E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)</t>
    </r>
  </si>
  <si>
    <r>
      <t xml:space="preserve">Length of d/s floor, </t>
    </r>
    <r>
      <rPr>
        <sz val="7.8"/>
        <rFont val="Times New Roman"/>
        <family val="1"/>
      </rPr>
      <t xml:space="preserve">(Length of stilling pool -Length of glacis d/s of jump) </t>
    </r>
  </si>
  <si>
    <r>
      <t>Discharge through main weir, 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= 0.8Q (cusecs)</t>
    </r>
  </si>
  <si>
    <r>
      <t>Intensity of flow on d/s floor, q = 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/width of main weir</t>
    </r>
  </si>
  <si>
    <r>
      <t>Depth in stilling pool, D</t>
    </r>
    <r>
      <rPr>
        <vertAlign val="subscript"/>
        <sz val="12"/>
        <rFont val="Times New Roman"/>
        <family val="1"/>
      </rPr>
      <t>pool</t>
    </r>
    <r>
      <rPr>
        <sz val="12"/>
        <rFont val="Times New Roman"/>
        <family val="1"/>
      </rPr>
      <t xml:space="preserve"> = DSWL - DSFL</t>
    </r>
  </si>
  <si>
    <r>
      <t>f(z) = q/E</t>
    </r>
    <r>
      <rPr>
        <vertAlign val="superscript"/>
        <sz val="12"/>
        <rFont val="Times New Roman"/>
        <family val="1"/>
      </rPr>
      <t>3/2</t>
    </r>
  </si>
  <si>
    <r>
      <t>d</t>
    </r>
    <r>
      <rPr>
        <vertAlign val="subscript"/>
        <sz val="12"/>
        <rFont val="Times New Roman"/>
        <family val="1"/>
      </rPr>
      <t xml:space="preserve">1 </t>
    </r>
    <r>
      <rPr>
        <sz val="12"/>
        <rFont val="Times New Roman"/>
        <family val="1"/>
      </rPr>
      <t>= z x E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</si>
  <si>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z' x E</t>
    </r>
  </si>
  <si>
    <r>
      <t>Jump submergency = D</t>
    </r>
    <r>
      <rPr>
        <vertAlign val="subscript"/>
        <sz val="12"/>
        <rFont val="Times New Roman"/>
        <family val="1"/>
      </rPr>
      <t>pool</t>
    </r>
    <r>
      <rPr>
        <sz val="12"/>
        <rFont val="Times New Roman"/>
        <family val="1"/>
      </rPr>
      <t xml:space="preserve"> - d</t>
    </r>
    <r>
      <rPr>
        <vertAlign val="subscript"/>
        <sz val="12"/>
        <rFont val="Times New Roman"/>
        <family val="1"/>
      </rPr>
      <t>2</t>
    </r>
  </si>
  <si>
    <r>
      <t>Intensity of flow on d/s floor, q = 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/Total width of all U/S</t>
    </r>
  </si>
  <si>
    <r>
      <t>Jump submergency = D</t>
    </r>
    <r>
      <rPr>
        <vertAlign val="subscript"/>
        <sz val="12"/>
        <rFont val="Times New Roman"/>
        <family val="1"/>
      </rPr>
      <t>pool</t>
    </r>
    <r>
      <rPr>
        <sz val="12"/>
        <rFont val="Times New Roman"/>
        <family val="1"/>
      </rPr>
      <t xml:space="preserve"> - d</t>
    </r>
    <r>
      <rPr>
        <vertAlign val="sub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>(ft)</t>
    </r>
  </si>
  <si>
    <r>
      <t>R = 0.9 (q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/f)</t>
    </r>
    <r>
      <rPr>
        <vertAlign val="superscript"/>
        <sz val="12"/>
        <rFont val="Times New Roman"/>
        <family val="1"/>
      </rPr>
      <t>1/3</t>
    </r>
  </si>
  <si>
    <r>
      <t>Minimum DSWL for Q</t>
    </r>
    <r>
      <rPr>
        <vertAlign val="subscript"/>
        <sz val="12"/>
        <rFont val="Times New Roman"/>
        <family val="1"/>
      </rPr>
      <t>max</t>
    </r>
  </si>
  <si>
    <r>
      <t>Length of apron to cover surface of scour = Sqrt (1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+3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)x(R'-D')</t>
    </r>
  </si>
  <si>
    <r>
      <t>Minimum USWL for Q</t>
    </r>
    <r>
      <rPr>
        <vertAlign val="subscript"/>
        <sz val="12"/>
        <rFont val="Times New Roman"/>
        <family val="1"/>
      </rPr>
      <t>max</t>
    </r>
  </si>
  <si>
    <r>
      <t>q = (Q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+Q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)/Total width of undersluicesx 1.2</t>
    </r>
  </si>
  <si>
    <r>
      <t>Minimum DSWL for 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+ Q</t>
    </r>
    <r>
      <rPr>
        <vertAlign val="subscript"/>
        <sz val="12"/>
        <rFont val="Times New Roman"/>
        <family val="1"/>
      </rPr>
      <t>3</t>
    </r>
  </si>
  <si>
    <r>
      <t>Minimum USWL for Q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+ Q</t>
    </r>
    <r>
      <rPr>
        <vertAlign val="subscript"/>
        <sz val="12"/>
        <rFont val="Times New Roman"/>
        <family val="1"/>
      </rPr>
      <t>3</t>
    </r>
  </si>
  <si>
    <r>
      <t xml:space="preserve"> the barrage u/s , L</t>
    </r>
    <r>
      <rPr>
        <vertAlign val="subscript"/>
        <sz val="12"/>
        <rFont val="Times New Roman"/>
        <family val="1"/>
      </rPr>
      <t xml:space="preserve">u/s = </t>
    </r>
    <r>
      <rPr>
        <sz val="12"/>
        <rFont val="Times New Roman"/>
        <family val="1"/>
      </rPr>
      <t>1.5 x Wa</t>
    </r>
  </si>
  <si>
    <r>
      <t>140</t>
    </r>
    <r>
      <rPr>
        <vertAlign val="superscript"/>
        <sz val="12"/>
        <rFont val="Times New Roman"/>
        <family val="1"/>
      </rPr>
      <t>o</t>
    </r>
  </si>
  <si>
    <r>
      <t>57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 xml:space="preserve"> - 80</t>
    </r>
    <r>
      <rPr>
        <vertAlign val="superscript"/>
        <sz val="12"/>
        <rFont val="Times New Roman"/>
        <family val="1"/>
      </rPr>
      <t>o</t>
    </r>
  </si>
  <si>
    <r>
      <t>d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= U/s HFL with accretion - RBL</t>
    </r>
  </si>
  <si>
    <r>
      <t>Assume d</t>
    </r>
    <r>
      <rPr>
        <vertAlign val="subscript"/>
        <sz val="12"/>
        <rFont val="Times New Roman"/>
        <family val="1"/>
      </rPr>
      <t>2</t>
    </r>
    <r>
      <rPr>
        <sz val="9"/>
        <rFont val="Times New Roman"/>
        <family val="1"/>
      </rPr>
      <t xml:space="preserve"> (in between d1 and D)</t>
    </r>
  </si>
  <si>
    <r>
      <t>d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/D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</si>
  <si>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/D</t>
    </r>
  </si>
  <si>
    <r>
      <t>Ф (d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/D) </t>
    </r>
    <r>
      <rPr>
        <sz val="8"/>
        <rFont val="Times New Roman"/>
        <family val="1"/>
      </rPr>
      <t>(from Bresse back water function table)</t>
    </r>
  </si>
  <si>
    <r>
      <t>Ф (d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/D)</t>
    </r>
  </si>
  <si>
    <r>
      <t>Thickness of stone apron, t</t>
    </r>
    <r>
      <rPr>
        <sz val="9"/>
        <rFont val="Times New Roman"/>
        <family val="1"/>
      </rPr>
      <t xml:space="preserve"> (as calculated previously)</t>
    </r>
  </si>
  <si>
    <r>
      <t>ft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/unit width</t>
    </r>
  </si>
  <si>
    <r>
      <t>Maximum thickness of unlaunched apron = 2t</t>
    </r>
    <r>
      <rPr>
        <vertAlign val="subscript"/>
        <sz val="12"/>
        <rFont val="Times New Roman"/>
        <family val="1"/>
      </rPr>
      <t>mean</t>
    </r>
    <r>
      <rPr>
        <sz val="12"/>
        <rFont val="Times New Roman"/>
        <family val="1"/>
      </rPr>
      <t xml:space="preserve"> - t</t>
    </r>
    <r>
      <rPr>
        <vertAlign val="subscript"/>
        <sz val="12"/>
        <rFont val="Times New Roman"/>
        <family val="1"/>
      </rPr>
      <t>min</t>
    </r>
  </si>
  <si>
    <r>
      <t xml:space="preserve">Front slope of marginal bunds </t>
    </r>
    <r>
      <rPr>
        <sz val="10"/>
        <rFont val="Times New Roman"/>
        <family val="1"/>
      </rPr>
      <t>(not pitched)</t>
    </r>
  </si>
  <si>
    <r>
      <t>Maximum USWL at Q</t>
    </r>
    <r>
      <rPr>
        <vertAlign val="subscript"/>
        <sz val="12"/>
        <rFont val="Times New Roman"/>
        <family val="1"/>
      </rPr>
      <t>max</t>
    </r>
  </si>
  <si>
    <r>
      <t>d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= Maximum USWL - RBL</t>
    </r>
  </si>
  <si>
    <r>
      <t>d</t>
    </r>
    <r>
      <rPr>
        <vertAlign val="subscript"/>
        <sz val="12"/>
        <rFont val="Times New Roman"/>
        <family val="1"/>
      </rPr>
      <t>1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</si>
  <si>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</si>
  <si>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r>
      <t>Max. USWL for Q</t>
    </r>
    <r>
      <rPr>
        <vertAlign val="subscript"/>
        <sz val="12"/>
        <rFont val="Times New Roman"/>
        <family val="1"/>
      </rPr>
      <t>max</t>
    </r>
  </si>
  <si>
    <r>
      <t xml:space="preserve">Differential head causing seepeage, </t>
    </r>
    <r>
      <rPr>
        <sz val="8"/>
        <rFont val="Times New Roman"/>
        <family val="1"/>
      </rPr>
      <t>H = Max. u/s WL - (DSFL - Retrogression)</t>
    </r>
  </si>
  <si>
    <r>
      <t xml:space="preserve">Depth of d/s sheet pile, d = </t>
    </r>
    <r>
      <rPr>
        <sz val="11"/>
        <rFont val="Times New Roman"/>
        <family val="1"/>
      </rPr>
      <t>DSFL - RL of bottom of d/s sheet pile</t>
    </r>
  </si>
  <si>
    <r>
      <t>G</t>
    </r>
    <r>
      <rPr>
        <vertAlign val="subscript"/>
        <sz val="12"/>
        <rFont val="Times New Roman"/>
        <family val="1"/>
      </rPr>
      <t>E</t>
    </r>
  </si>
  <si>
    <r>
      <t>Length of  concrete floor upto u/s sheet pile, b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</t>
    </r>
  </si>
  <si>
    <t>1/α = d/b</t>
  </si>
  <si>
    <r>
      <t>b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/b</t>
    </r>
  </si>
  <si>
    <r>
      <t>1 - b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/b</t>
    </r>
  </si>
  <si>
    <r>
      <t>Distance between two piles, b</t>
    </r>
    <r>
      <rPr>
        <vertAlign val="subscript"/>
        <sz val="12"/>
        <rFont val="Times New Roman"/>
        <family val="1"/>
      </rPr>
      <t>1</t>
    </r>
  </si>
  <si>
    <r>
      <t xml:space="preserve">Horizontal projection of u/s glacis, </t>
    </r>
    <r>
      <rPr>
        <sz val="10"/>
        <rFont val="Times New Roman"/>
        <family val="1"/>
      </rPr>
      <t>b</t>
    </r>
    <r>
      <rPr>
        <vertAlign val="subscript"/>
        <sz val="10"/>
        <rFont val="Times New Roman"/>
        <family val="1"/>
      </rPr>
      <t xml:space="preserve">s </t>
    </r>
    <r>
      <rPr>
        <sz val="10"/>
        <rFont val="Times New Roman"/>
        <family val="1"/>
      </rPr>
      <t>= (crest level - RBL) x 1/slope</t>
    </r>
  </si>
  <si>
    <r>
      <t>Length of concrete floor up to sheet pile, b</t>
    </r>
    <r>
      <rPr>
        <vertAlign val="subscript"/>
        <sz val="12"/>
        <rFont val="Times New Roman"/>
        <family val="1"/>
      </rPr>
      <t>1</t>
    </r>
  </si>
  <si>
    <r>
      <t xml:space="preserve">for </t>
    </r>
    <r>
      <rPr>
        <sz val="12"/>
        <color indexed="9"/>
        <rFont val="Times New Roman"/>
        <family val="1"/>
      </rPr>
      <t>'</t>
    </r>
    <r>
      <rPr>
        <sz val="12"/>
        <rFont val="Times New Roman"/>
        <family val="1"/>
      </rPr>
      <t>1:3 slope, F</t>
    </r>
    <r>
      <rPr>
        <vertAlign val="subscript"/>
        <sz val="12"/>
        <rFont val="Times New Roman"/>
        <family val="1"/>
      </rPr>
      <t>s</t>
    </r>
  </si>
  <si>
    <r>
      <t>b</t>
    </r>
    <r>
      <rPr>
        <vertAlign val="subscript"/>
        <sz val="12"/>
        <rFont val="Times New Roman"/>
        <family val="1"/>
      </rPr>
      <t>s</t>
    </r>
    <r>
      <rPr>
        <sz val="12"/>
        <rFont val="Times New Roman"/>
        <family val="1"/>
      </rPr>
      <t xml:space="preserve"> = (crest level - DSFL) x 1/slope</t>
    </r>
  </si>
  <si>
    <r>
      <t>t</t>
    </r>
    <r>
      <rPr>
        <vertAlign val="subscript"/>
        <sz val="12"/>
        <rFont val="Times New Roman"/>
        <family val="1"/>
      </rPr>
      <t>f</t>
    </r>
    <r>
      <rPr>
        <sz val="12"/>
        <rFont val="Times New Roman"/>
        <family val="1"/>
      </rPr>
      <t xml:space="preserve"> = Thickness of floor in ft</t>
    </r>
  </si>
  <si>
    <r>
      <t xml:space="preserve">      </t>
    </r>
    <r>
      <rPr>
        <sz val="10"/>
        <rFont val="Times New Roman"/>
        <family val="1"/>
      </rPr>
      <t xml:space="preserve">= % Uplift pressure </t>
    </r>
  </si>
  <si>
    <t xml:space="preserve">DSWL  </t>
  </si>
  <si>
    <t>R</t>
  </si>
  <si>
    <t>%age Difference</t>
  </si>
  <si>
    <t>Q/Wa</t>
  </si>
  <si>
    <t>USWL-CL</t>
  </si>
  <si>
    <t>DSWL-CL</t>
  </si>
  <si>
    <t>FOR NORMAL STATE</t>
  </si>
  <si>
    <t>FOR RETROGRESSED STATE</t>
  </si>
  <si>
    <t>FOR ACCRETED STATE</t>
  </si>
  <si>
    <t>Do</t>
  </si>
  <si>
    <t>USWL-RBL</t>
  </si>
  <si>
    <t>DSWL+afflux</t>
  </si>
  <si>
    <t>f</t>
  </si>
  <si>
    <t>vo</t>
  </si>
  <si>
    <r>
      <t>q</t>
    </r>
    <r>
      <rPr>
        <b/>
        <vertAlign val="subscript"/>
        <sz val="11"/>
        <color theme="1"/>
        <rFont val="Times New Roman"/>
        <family val="1"/>
      </rPr>
      <t>abt</t>
    </r>
  </si>
  <si>
    <r>
      <t>h</t>
    </r>
    <r>
      <rPr>
        <b/>
        <vertAlign val="subscript"/>
        <sz val="11"/>
        <color theme="1"/>
        <rFont val="Times New Roman"/>
        <family val="1"/>
      </rPr>
      <t>o</t>
    </r>
  </si>
  <si>
    <r>
      <t>H</t>
    </r>
    <r>
      <rPr>
        <b/>
        <vertAlign val="subscript"/>
        <sz val="11"/>
        <color theme="1"/>
        <rFont val="Times New Roman"/>
        <family val="1"/>
      </rPr>
      <t>o</t>
    </r>
  </si>
  <si>
    <r>
      <t>E</t>
    </r>
    <r>
      <rPr>
        <b/>
        <vertAlign val="subscript"/>
        <sz val="11"/>
        <color theme="1"/>
        <rFont val="Times New Roman"/>
        <family val="1"/>
      </rPr>
      <t>o</t>
    </r>
  </si>
  <si>
    <r>
      <t>h/E</t>
    </r>
    <r>
      <rPr>
        <b/>
        <vertAlign val="subscript"/>
        <sz val="11"/>
        <color theme="1"/>
        <rFont val="Times New Roman"/>
        <family val="1"/>
      </rPr>
      <t>o</t>
    </r>
  </si>
  <si>
    <r>
      <t>E</t>
    </r>
    <r>
      <rPr>
        <b/>
        <vertAlign val="subscript"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3/2</t>
    </r>
  </si>
  <si>
    <r>
      <t>q</t>
    </r>
    <r>
      <rPr>
        <b/>
        <vertAlign val="subscript"/>
        <sz val="11"/>
        <color theme="1"/>
        <rFont val="Times New Roman"/>
        <family val="1"/>
      </rPr>
      <t>weir</t>
    </r>
  </si>
  <si>
    <r>
      <t>ft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/sec/ft</t>
    </r>
  </si>
  <si>
    <r>
      <t>ft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/sec</t>
    </r>
  </si>
  <si>
    <t>Check</t>
  </si>
  <si>
    <t>Concentration of flow, Q=</t>
  </si>
  <si>
    <t>Increase in flow=</t>
  </si>
  <si>
    <t>Crest level of undersluices=</t>
  </si>
  <si>
    <t>Q/Wu*D</t>
  </si>
  <si>
    <t>Total width of under sluices,Wu=</t>
  </si>
  <si>
    <t>(C'*Eo^(3/2))</t>
  </si>
  <si>
    <t>(qclear*Wu)</t>
  </si>
  <si>
    <t>Vd/s (Q/(Dpool x Wa)</t>
  </si>
  <si>
    <r>
      <t>d/s velocity head (Vd/s^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/2g)</t>
    </r>
  </si>
  <si>
    <t>% Q</t>
  </si>
  <si>
    <r>
      <t>(DSEL - E</t>
    </r>
    <r>
      <rPr>
        <b/>
        <vertAlign val="subscript"/>
        <sz val="8"/>
        <rFont val="Times New Roman"/>
        <family val="1"/>
      </rPr>
      <t>2</t>
    </r>
    <r>
      <rPr>
        <b/>
        <sz val="8"/>
        <rFont val="Times New Roman"/>
        <family val="1"/>
      </rPr>
      <t>)</t>
    </r>
  </si>
  <si>
    <r>
      <t>0.9(q</t>
    </r>
    <r>
      <rPr>
        <b/>
        <vertAlign val="subscript"/>
        <sz val="8"/>
        <color theme="1"/>
        <rFont val="Times New Roman"/>
        <family val="1"/>
      </rPr>
      <t>abt</t>
    </r>
    <r>
      <rPr>
        <b/>
        <vertAlign val="superscript"/>
        <sz val="8"/>
        <color theme="1"/>
        <rFont val="Times New Roman"/>
        <family val="1"/>
      </rPr>
      <t xml:space="preserve">2 </t>
    </r>
    <r>
      <rPr>
        <b/>
        <sz val="8"/>
        <color theme="1"/>
        <rFont val="Times New Roman"/>
        <family val="1"/>
      </rPr>
      <t>/f</t>
    </r>
    <r>
      <rPr>
        <b/>
        <vertAlign val="superscript"/>
        <sz val="8"/>
        <color theme="1"/>
        <rFont val="Times New Roman"/>
        <family val="1"/>
      </rPr>
      <t>)1/3</t>
    </r>
  </si>
  <si>
    <r>
      <rPr>
        <b/>
        <vertAlign val="subscript"/>
        <sz val="8"/>
        <color theme="1"/>
        <rFont val="Times New Roman"/>
        <family val="1"/>
      </rPr>
      <t xml:space="preserve">q abt </t>
    </r>
    <r>
      <rPr>
        <b/>
        <sz val="8"/>
        <color theme="1"/>
        <rFont val="Times New Roman"/>
        <family val="1"/>
      </rPr>
      <t>/R</t>
    </r>
  </si>
  <si>
    <r>
      <rPr>
        <b/>
        <vertAlign val="superscript"/>
        <sz val="8"/>
        <color theme="1"/>
        <rFont val="Times New Roman"/>
        <family val="1"/>
      </rPr>
      <t>Vo2</t>
    </r>
    <r>
      <rPr>
        <b/>
        <sz val="8"/>
        <color theme="1"/>
        <rFont val="Times New Roman"/>
        <family val="1"/>
      </rPr>
      <t>/2g</t>
    </r>
  </si>
  <si>
    <r>
      <t>H</t>
    </r>
    <r>
      <rPr>
        <b/>
        <vertAlign val="subscript"/>
        <sz val="8"/>
        <color theme="1"/>
        <rFont val="Times New Roman"/>
        <family val="1"/>
      </rPr>
      <t>o</t>
    </r>
    <r>
      <rPr>
        <b/>
        <sz val="8"/>
        <color theme="1"/>
        <rFont val="Times New Roman"/>
        <family val="1"/>
      </rPr>
      <t>+h</t>
    </r>
    <r>
      <rPr>
        <b/>
        <vertAlign val="subscript"/>
        <sz val="8"/>
        <color theme="1"/>
        <rFont val="Times New Roman"/>
        <family val="1"/>
      </rPr>
      <t>o</t>
    </r>
  </si>
  <si>
    <r>
      <t>C'*E</t>
    </r>
    <r>
      <rPr>
        <b/>
        <vertAlign val="subscript"/>
        <sz val="8"/>
        <color theme="1"/>
        <rFont val="Times New Roman"/>
        <family val="1"/>
      </rPr>
      <t>o</t>
    </r>
    <r>
      <rPr>
        <b/>
        <vertAlign val="superscript"/>
        <sz val="8"/>
        <color theme="1"/>
        <rFont val="Times New Roman"/>
        <family val="1"/>
      </rPr>
      <t>3/2</t>
    </r>
  </si>
  <si>
    <r>
      <t>q</t>
    </r>
    <r>
      <rPr>
        <b/>
        <vertAlign val="subscript"/>
        <sz val="8"/>
        <color theme="1"/>
        <rFont val="Times New Roman"/>
        <family val="1"/>
      </rPr>
      <t>weir</t>
    </r>
    <r>
      <rPr>
        <b/>
        <sz val="8"/>
        <color theme="1"/>
        <rFont val="Times New Roman"/>
        <family val="1"/>
      </rPr>
      <t>*Wbays</t>
    </r>
  </si>
  <si>
    <t>Afflux limits</t>
  </si>
  <si>
    <t>3-5'</t>
  </si>
  <si>
    <t>5-7'</t>
  </si>
  <si>
    <t>1-3'</t>
  </si>
  <si>
    <t>N/A</t>
  </si>
  <si>
    <t>Hence, we shall provide d/s floor =</t>
  </si>
  <si>
    <t>F=[(K+F)/C x C - K]</t>
  </si>
  <si>
    <t>Hence, jump is submerged in all cases</t>
  </si>
  <si>
    <t>Floor level of stilling pool, DSFL</t>
  </si>
  <si>
    <t>The following table gives the required values of "t" for protection of various grades of sand and slope of rivers</t>
  </si>
  <si>
    <t>Length of backwater curve, L</t>
  </si>
  <si>
    <t>Length of backwater curve, L and length of u/s guide bank is almost equal, hence ok</t>
  </si>
  <si>
    <t>Top width with no dowel</t>
  </si>
  <si>
    <t>to get d2=18,d2/D=1, we stop at d2=18.1'</t>
  </si>
  <si>
    <t>RL of bottom of u/s sheet pile = Max. USWL - 1.5R</t>
  </si>
  <si>
    <t>Taking RL of bottom of d/s sheet pile</t>
  </si>
  <si>
    <t>Let the water be headed up to Max. accreted level u/s with no flow d/s.</t>
  </si>
  <si>
    <t>Assume Retogression</t>
  </si>
  <si>
    <t>Depth of u/s sheet pile,d=RBL-RL of bottom of u/s pile</t>
  </si>
  <si>
    <t>b1=1.5H =</t>
  </si>
  <si>
    <t>Maximum Discharge, Q max =Regd no.*10000/3</t>
  </si>
  <si>
    <t>Length of each guide bank measured in straight line along</t>
  </si>
  <si>
    <r>
      <t>Length of each guide bank d/s of barrage, L</t>
    </r>
    <r>
      <rPr>
        <vertAlign val="subscript"/>
        <sz val="12"/>
        <rFont val="Times New Roman"/>
        <family val="1"/>
      </rPr>
      <t>d/s</t>
    </r>
    <r>
      <rPr>
        <sz val="12"/>
        <rFont val="Times New Roman"/>
        <family val="1"/>
      </rPr>
      <t xml:space="preserve"> = 0.2 x Wa</t>
    </r>
  </si>
  <si>
    <t>Lacey's looseness coefficient(LLC)</t>
  </si>
  <si>
    <t xml:space="preserve">Total Width between abutment, Wa </t>
  </si>
  <si>
    <t>Total width of bays, Wclear</t>
  </si>
  <si>
    <t>Scour depth, R = 0.9(qus^2 / f)^1/3</t>
  </si>
  <si>
    <t>Thickness of stone pitching, t</t>
  </si>
  <si>
    <t>IF(1/7&lt;Ge&lt;1/5,"SAFE","UNSAFE")</t>
  </si>
  <si>
    <r>
      <t>Assume t</t>
    </r>
    <r>
      <rPr>
        <vertAlign val="subscript"/>
        <sz val="12"/>
        <rFont val="Times New Roman"/>
        <family val="1"/>
      </rPr>
      <t>f=</t>
    </r>
    <r>
      <rPr>
        <sz val="12"/>
        <rFont val="Times New Roman"/>
        <family val="1"/>
      </rPr>
      <t>u/s</t>
    </r>
    <r>
      <rPr>
        <vertAlign val="subscript"/>
        <sz val="12"/>
        <rFont val="Times New Roman"/>
        <family val="1"/>
      </rPr>
      <t xml:space="preserve"> </t>
    </r>
    <r>
      <rPr>
        <sz val="12"/>
        <rFont val="Times New Roman"/>
        <family val="1"/>
      </rPr>
      <t>floor thickness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</si>
</sst>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"/>
    <numFmt numFmtId="166" formatCode="0.000000000000"/>
    <numFmt numFmtId="167" formatCode="0.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u/>
      <sz val="18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color indexed="9"/>
      <name val="Times New Roman"/>
      <family val="1"/>
    </font>
    <font>
      <b/>
      <vertAlign val="subscript"/>
      <sz val="12"/>
      <name val="Times New Roman"/>
      <family val="1"/>
    </font>
    <font>
      <b/>
      <sz val="8"/>
      <name val="Times New Roman"/>
      <family val="1"/>
    </font>
    <font>
      <vertAlign val="subscript"/>
      <sz val="12"/>
      <name val="Times New Roman"/>
      <family val="1"/>
    </font>
    <font>
      <sz val="7"/>
      <name val="Times New Roman"/>
      <family val="1"/>
    </font>
    <font>
      <sz val="8.5"/>
      <name val="Times New Roman"/>
      <family val="1"/>
    </font>
    <font>
      <vertAlign val="subscript"/>
      <sz val="8"/>
      <name val="Times New Roman"/>
      <family val="1"/>
    </font>
    <font>
      <vertAlign val="superscript"/>
      <sz val="12"/>
      <name val="Times New Roman"/>
      <family val="1"/>
    </font>
    <font>
      <sz val="7.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4"/>
      <name val="Times New Roman"/>
      <family val="1"/>
    </font>
    <font>
      <sz val="11"/>
      <color theme="1"/>
      <name val="Times New Roman"/>
      <family val="1"/>
    </font>
    <font>
      <b/>
      <u/>
      <sz val="16"/>
      <name val="Times New Roman"/>
      <family val="1"/>
    </font>
    <font>
      <sz val="12"/>
      <color indexed="10"/>
      <name val="Times New Roman"/>
      <family val="1"/>
    </font>
    <font>
      <vertAlign val="subscript"/>
      <sz val="10"/>
      <name val="Times New Roman"/>
      <family val="1"/>
    </font>
    <font>
      <sz val="12"/>
      <color indexed="9"/>
      <name val="Times New Roman"/>
      <family val="1"/>
    </font>
    <font>
      <b/>
      <sz val="11"/>
      <color theme="5" tint="-0.499984740745262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7"/>
      <name val="Times New Roman"/>
      <family val="1"/>
    </font>
    <font>
      <b/>
      <sz val="8.5"/>
      <name val="Times New Roman"/>
      <family val="1"/>
    </font>
    <font>
      <b/>
      <vertAlign val="subscript"/>
      <sz val="8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vertAlign val="sub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2" borderId="0" xfId="0" applyFont="1" applyFill="1"/>
    <xf numFmtId="0" fontId="8" fillId="2" borderId="0" xfId="0" applyFont="1" applyFill="1"/>
    <xf numFmtId="0" fontId="4" fillId="0" borderId="0" xfId="0" applyFont="1" applyFill="1"/>
    <xf numFmtId="1" fontId="4" fillId="0" borderId="0" xfId="0" applyNumberFormat="1" applyFont="1"/>
    <xf numFmtId="2" fontId="4" fillId="0" borderId="0" xfId="0" applyNumberFormat="1" applyFont="1"/>
    <xf numFmtId="0" fontId="4" fillId="3" borderId="0" xfId="0" applyFont="1" applyFill="1"/>
    <xf numFmtId="0" fontId="11" fillId="0" borderId="0" xfId="0" applyFont="1"/>
    <xf numFmtId="2" fontId="11" fillId="0" borderId="0" xfId="0" applyNumberFormat="1" applyFont="1"/>
    <xf numFmtId="2" fontId="4" fillId="2" borderId="0" xfId="0" applyNumberFormat="1" applyFont="1" applyFill="1"/>
    <xf numFmtId="0" fontId="12" fillId="0" borderId="0" xfId="0" applyFont="1"/>
    <xf numFmtId="0" fontId="9" fillId="0" borderId="0" xfId="0" applyFont="1"/>
    <xf numFmtId="164" fontId="4" fillId="0" borderId="0" xfId="0" applyNumberFormat="1" applyFont="1"/>
    <xf numFmtId="0" fontId="14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6" fillId="0" borderId="5" xfId="0" applyFont="1" applyBorder="1"/>
    <xf numFmtId="0" fontId="4" fillId="0" borderId="5" xfId="0" applyFont="1" applyBorder="1"/>
    <xf numFmtId="0" fontId="4" fillId="2" borderId="5" xfId="0" applyFont="1" applyFill="1" applyBorder="1"/>
    <xf numFmtId="0" fontId="4" fillId="0" borderId="6" xfId="0" applyFont="1" applyBorder="1"/>
    <xf numFmtId="0" fontId="4" fillId="0" borderId="4" xfId="0" applyFont="1" applyBorder="1"/>
    <xf numFmtId="164" fontId="4" fillId="0" borderId="5" xfId="0" applyNumberFormat="1" applyFont="1" applyBorder="1"/>
    <xf numFmtId="2" fontId="4" fillId="0" borderId="5" xfId="0" applyNumberFormat="1" applyFont="1" applyBorder="1"/>
    <xf numFmtId="165" fontId="4" fillId="0" borderId="5" xfId="0" applyNumberFormat="1" applyFont="1" applyBorder="1"/>
    <xf numFmtId="0" fontId="4" fillId="0" borderId="7" xfId="0" applyFont="1" applyBorder="1"/>
    <xf numFmtId="0" fontId="4" fillId="2" borderId="8" xfId="0" applyFont="1" applyFill="1" applyBorder="1"/>
    <xf numFmtId="0" fontId="4" fillId="0" borderId="8" xfId="0" applyFont="1" applyBorder="1"/>
    <xf numFmtId="164" fontId="4" fillId="0" borderId="8" xfId="0" applyNumberFormat="1" applyFont="1" applyBorder="1"/>
    <xf numFmtId="2" fontId="4" fillId="0" borderId="8" xfId="0" applyNumberFormat="1" applyFont="1" applyBorder="1"/>
    <xf numFmtId="0" fontId="4" fillId="0" borderId="1" xfId="0" applyFont="1" applyBorder="1"/>
    <xf numFmtId="0" fontId="4" fillId="2" borderId="2" xfId="0" applyFont="1" applyFill="1" applyBorder="1"/>
    <xf numFmtId="0" fontId="4" fillId="0" borderId="2" xfId="0" applyFont="1" applyBorder="1"/>
    <xf numFmtId="0" fontId="10" fillId="0" borderId="5" xfId="0" applyFont="1" applyBorder="1"/>
    <xf numFmtId="0" fontId="10" fillId="0" borderId="6" xfId="0" applyFont="1" applyBorder="1"/>
    <xf numFmtId="1" fontId="4" fillId="0" borderId="4" xfId="0" applyNumberFormat="1" applyFont="1" applyBorder="1"/>
    <xf numFmtId="1" fontId="4" fillId="0" borderId="7" xfId="0" applyNumberFormat="1" applyFont="1" applyBorder="1"/>
    <xf numFmtId="0" fontId="4" fillId="0" borderId="9" xfId="0" applyFont="1" applyBorder="1"/>
    <xf numFmtId="0" fontId="7" fillId="0" borderId="0" xfId="0" applyFont="1" applyFill="1"/>
    <xf numFmtId="166" fontId="4" fillId="0" borderId="0" xfId="0" applyNumberFormat="1" applyFont="1" applyFill="1"/>
    <xf numFmtId="0" fontId="11" fillId="0" borderId="0" xfId="0" applyFont="1" applyFill="1"/>
    <xf numFmtId="0" fontId="18" fillId="0" borderId="5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1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2" fontId="4" fillId="0" borderId="6" xfId="0" applyNumberFormat="1" applyFont="1" applyBorder="1"/>
    <xf numFmtId="2" fontId="4" fillId="0" borderId="9" xfId="0" applyNumberFormat="1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2" fontId="4" fillId="0" borderId="0" xfId="0" applyNumberFormat="1" applyFont="1" applyFill="1"/>
    <xf numFmtId="0" fontId="4" fillId="0" borderId="0" xfId="0" quotePrefix="1" applyFont="1"/>
    <xf numFmtId="0" fontId="4" fillId="0" borderId="0" xfId="0" quotePrefix="1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165" fontId="4" fillId="0" borderId="0" xfId="0" applyNumberFormat="1" applyFont="1"/>
    <xf numFmtId="0" fontId="4" fillId="0" borderId="0" xfId="0" quotePrefix="1" applyFont="1" applyFill="1" applyAlignment="1">
      <alignment horizontal="right"/>
    </xf>
    <xf numFmtId="1" fontId="11" fillId="0" borderId="0" xfId="0" applyNumberFormat="1" applyFont="1"/>
    <xf numFmtId="0" fontId="23" fillId="0" borderId="0" xfId="0" applyFont="1"/>
    <xf numFmtId="0" fontId="24" fillId="0" borderId="0" xfId="0" applyFont="1"/>
    <xf numFmtId="1" fontId="24" fillId="0" borderId="0" xfId="0" applyNumberFormat="1" applyFont="1"/>
    <xf numFmtId="0" fontId="3" fillId="2" borderId="0" xfId="0" applyFont="1" applyFill="1"/>
    <xf numFmtId="0" fontId="4" fillId="0" borderId="0" xfId="0" applyFont="1" applyBorder="1"/>
    <xf numFmtId="2" fontId="4" fillId="2" borderId="5" xfId="0" applyNumberFormat="1" applyFont="1" applyFill="1" applyBorder="1"/>
    <xf numFmtId="1" fontId="4" fillId="0" borderId="5" xfId="0" applyNumberFormat="1" applyFont="1" applyBorder="1"/>
    <xf numFmtId="0" fontId="25" fillId="0" borderId="0" xfId="0" applyFont="1"/>
    <xf numFmtId="0" fontId="25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26" fillId="0" borderId="0" xfId="0" applyFont="1"/>
    <xf numFmtId="0" fontId="10" fillId="0" borderId="0" xfId="0" applyFont="1"/>
    <xf numFmtId="17" fontId="4" fillId="0" borderId="0" xfId="0" quotePrefix="1" applyNumberFormat="1" applyFont="1" applyFill="1" applyAlignment="1">
      <alignment horizontal="right"/>
    </xf>
    <xf numFmtId="167" fontId="4" fillId="2" borderId="0" xfId="0" applyNumberFormat="1" applyFont="1" applyFill="1"/>
    <xf numFmtId="2" fontId="4" fillId="0" borderId="0" xfId="0" applyNumberFormat="1" applyFont="1" applyAlignment="1">
      <alignment horizontal="right"/>
    </xf>
    <xf numFmtId="0" fontId="4" fillId="2" borderId="0" xfId="0" quotePrefix="1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2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0" borderId="11" xfId="0" quotePrefix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2" xfId="0" applyNumberFormat="1" applyFont="1" applyBorder="1"/>
    <xf numFmtId="165" fontId="4" fillId="0" borderId="2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4" fillId="0" borderId="6" xfId="0" applyNumberFormat="1" applyFont="1" applyBorder="1"/>
    <xf numFmtId="165" fontId="4" fillId="0" borderId="8" xfId="0" applyNumberFormat="1" applyFont="1" applyBorder="1"/>
    <xf numFmtId="1" fontId="4" fillId="0" borderId="8" xfId="0" applyNumberFormat="1" applyFont="1" applyBorder="1"/>
    <xf numFmtId="1" fontId="4" fillId="0" borderId="9" xfId="0" applyNumberFormat="1" applyFont="1" applyBorder="1"/>
    <xf numFmtId="0" fontId="27" fillId="0" borderId="0" xfId="0" applyFont="1"/>
    <xf numFmtId="2" fontId="10" fillId="0" borderId="0" xfId="0" applyNumberFormat="1" applyFont="1"/>
    <xf numFmtId="0" fontId="10" fillId="0" borderId="0" xfId="0" quotePrefix="1" applyFont="1" applyAlignment="1">
      <alignment horizontal="right" vertical="top"/>
    </xf>
    <xf numFmtId="0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Fill="1"/>
    <xf numFmtId="167" fontId="4" fillId="0" borderId="0" xfId="0" applyNumberFormat="1" applyFont="1"/>
    <xf numFmtId="0" fontId="4" fillId="2" borderId="0" xfId="0" quotePrefix="1" applyFont="1" applyFill="1" applyAlignment="1">
      <alignment horizontal="center"/>
    </xf>
    <xf numFmtId="0" fontId="9" fillId="2" borderId="0" xfId="0" applyFont="1" applyFill="1"/>
    <xf numFmtId="0" fontId="28" fillId="2" borderId="0" xfId="0" applyFont="1" applyFill="1"/>
    <xf numFmtId="0" fontId="26" fillId="2" borderId="0" xfId="0" quotePrefix="1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26" fillId="2" borderId="0" xfId="0" applyFont="1" applyFill="1"/>
    <xf numFmtId="43" fontId="4" fillId="0" borderId="0" xfId="1" applyNumberFormat="1" applyFont="1"/>
    <xf numFmtId="0" fontId="4" fillId="0" borderId="5" xfId="0" applyFont="1" applyFill="1" applyBorder="1"/>
    <xf numFmtId="0" fontId="16" fillId="0" borderId="6" xfId="0" applyFont="1" applyBorder="1"/>
    <xf numFmtId="0" fontId="16" fillId="0" borderId="0" xfId="0" applyFont="1"/>
    <xf numFmtId="9" fontId="32" fillId="0" borderId="5" xfId="0" applyNumberFormat="1" applyFont="1" applyBorder="1" applyAlignment="1">
      <alignment horizontal="center" vertical="center"/>
    </xf>
    <xf numFmtId="164" fontId="26" fillId="0" borderId="5" xfId="0" applyNumberFormat="1" applyFont="1" applyBorder="1"/>
    <xf numFmtId="164" fontId="26" fillId="0" borderId="8" xfId="0" applyNumberFormat="1" applyFont="1" applyBorder="1"/>
    <xf numFmtId="0" fontId="11" fillId="3" borderId="2" xfId="0" applyFont="1" applyFill="1" applyBorder="1"/>
    <xf numFmtId="0" fontId="19" fillId="3" borderId="5" xfId="0" applyFont="1" applyFill="1" applyBorder="1"/>
    <xf numFmtId="0" fontId="13" fillId="3" borderId="8" xfId="0" applyFont="1" applyFill="1" applyBorder="1"/>
    <xf numFmtId="0" fontId="4" fillId="3" borderId="11" xfId="0" applyFont="1" applyFill="1" applyBorder="1"/>
    <xf numFmtId="0" fontId="4" fillId="3" borderId="5" xfId="0" applyFont="1" applyFill="1" applyBorder="1"/>
    <xf numFmtId="0" fontId="4" fillId="3" borderId="8" xfId="0" applyFont="1" applyFill="1" applyBorder="1"/>
    <xf numFmtId="1" fontId="11" fillId="0" borderId="14" xfId="0" applyNumberFormat="1" applyFont="1" applyBorder="1"/>
    <xf numFmtId="2" fontId="4" fillId="3" borderId="0" xfId="0" applyNumberFormat="1" applyFont="1" applyFill="1"/>
    <xf numFmtId="164" fontId="4" fillId="2" borderId="0" xfId="0" applyNumberFormat="1" applyFont="1" applyFill="1"/>
    <xf numFmtId="0" fontId="35" fillId="0" borderId="5" xfId="0" applyFont="1" applyBorder="1"/>
    <xf numFmtId="0" fontId="36" fillId="3" borderId="5" xfId="0" applyFont="1" applyFill="1" applyBorder="1"/>
    <xf numFmtId="0" fontId="38" fillId="0" borderId="5" xfId="0" applyFont="1" applyBorder="1"/>
    <xf numFmtId="0" fontId="38" fillId="3" borderId="5" xfId="0" applyFont="1" applyFill="1" applyBorder="1"/>
    <xf numFmtId="0" fontId="38" fillId="0" borderId="6" xfId="0" applyFont="1" applyBorder="1"/>
    <xf numFmtId="0" fontId="39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1" fillId="0" borderId="6" xfId="0" applyFont="1" applyBorder="1"/>
    <xf numFmtId="0" fontId="42" fillId="0" borderId="5" xfId="0" applyFont="1" applyBorder="1"/>
    <xf numFmtId="0" fontId="43" fillId="0" borderId="5" xfId="0" applyFont="1" applyBorder="1"/>
    <xf numFmtId="0" fontId="16" fillId="3" borderId="5" xfId="0" applyFont="1" applyFill="1" applyBorder="1" applyAlignment="1"/>
    <xf numFmtId="0" fontId="11" fillId="3" borderId="5" xfId="0" applyFont="1" applyFill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5" xfId="0" applyNumberFormat="1" applyFont="1" applyFill="1" applyBorder="1"/>
    <xf numFmtId="0" fontId="8" fillId="0" borderId="0" xfId="0" applyFont="1" applyFill="1"/>
    <xf numFmtId="164" fontId="4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7" fontId="4" fillId="2" borderId="5" xfId="0" applyNumberFormat="1" applyFont="1" applyFill="1" applyBorder="1" applyAlignment="1">
      <alignment horizontal="center"/>
    </xf>
    <xf numFmtId="167" fontId="4" fillId="2" borderId="5" xfId="0" applyNumberFormat="1" applyFont="1" applyFill="1" applyBorder="1"/>
    <xf numFmtId="164" fontId="44" fillId="3" borderId="0" xfId="0" applyNumberFormat="1" applyFont="1" applyFill="1"/>
    <xf numFmtId="2" fontId="9" fillId="0" borderId="0" xfId="0" applyNumberFormat="1" applyFont="1" applyAlignment="1">
      <alignment horizontal="left"/>
    </xf>
    <xf numFmtId="9" fontId="31" fillId="0" borderId="5" xfId="0" applyNumberFormat="1" applyFont="1" applyBorder="1" applyAlignment="1"/>
    <xf numFmtId="9" fontId="31" fillId="0" borderId="6" xfId="0" applyNumberFormat="1" applyFont="1" applyBorder="1" applyAlignment="1"/>
    <xf numFmtId="0" fontId="11" fillId="0" borderId="1" xfId="0" applyFont="1" applyFill="1" applyBorder="1"/>
    <xf numFmtId="0" fontId="32" fillId="0" borderId="2" xfId="0" applyFont="1" applyFill="1" applyBorder="1" applyAlignment="1">
      <alignment horizontal="center" vertical="center"/>
    </xf>
    <xf numFmtId="1" fontId="4" fillId="0" borderId="4" xfId="0" applyNumberFormat="1" applyFont="1" applyFill="1" applyBorder="1"/>
    <xf numFmtId="165" fontId="4" fillId="0" borderId="5" xfId="0" applyNumberFormat="1" applyFont="1" applyFill="1" applyBorder="1"/>
    <xf numFmtId="1" fontId="4" fillId="0" borderId="5" xfId="0" applyNumberFormat="1" applyFont="1" applyFill="1" applyBorder="1"/>
    <xf numFmtId="0" fontId="11" fillId="0" borderId="6" xfId="0" applyFont="1" applyFill="1" applyBorder="1"/>
    <xf numFmtId="1" fontId="4" fillId="0" borderId="7" xfId="0" applyNumberFormat="1" applyFont="1" applyFill="1" applyBorder="1"/>
    <xf numFmtId="164" fontId="4" fillId="0" borderId="8" xfId="0" applyNumberFormat="1" applyFont="1" applyFill="1" applyBorder="1"/>
    <xf numFmtId="0" fontId="4" fillId="0" borderId="8" xfId="0" applyFont="1" applyFill="1" applyBorder="1"/>
    <xf numFmtId="2" fontId="4" fillId="0" borderId="8" xfId="0" applyNumberFormat="1" applyFont="1" applyFill="1" applyBorder="1"/>
    <xf numFmtId="165" fontId="4" fillId="0" borderId="8" xfId="0" applyNumberFormat="1" applyFont="1" applyFill="1" applyBorder="1"/>
    <xf numFmtId="1" fontId="4" fillId="0" borderId="8" xfId="0" applyNumberFormat="1" applyFont="1" applyFill="1" applyBorder="1"/>
    <xf numFmtId="0" fontId="11" fillId="0" borderId="9" xfId="0" applyFont="1" applyFill="1" applyBorder="1"/>
    <xf numFmtId="0" fontId="11" fillId="0" borderId="2" xfId="0" applyFont="1" applyFill="1" applyBorder="1"/>
    <xf numFmtId="0" fontId="11" fillId="0" borderId="4" xfId="0" applyFont="1" applyFill="1" applyBorder="1"/>
    <xf numFmtId="0" fontId="11" fillId="0" borderId="5" xfId="0" applyFont="1" applyFill="1" applyBorder="1"/>
    <xf numFmtId="0" fontId="16" fillId="0" borderId="4" xfId="0" applyFont="1" applyFill="1" applyBorder="1"/>
    <xf numFmtId="0" fontId="16" fillId="0" borderId="5" xfId="0" applyFont="1" applyFill="1" applyBorder="1"/>
    <xf numFmtId="0" fontId="11" fillId="0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9" fontId="26" fillId="0" borderId="4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9" fontId="26" fillId="0" borderId="7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0" borderId="13" xfId="0" applyFont="1" applyBorder="1" applyAlignment="1"/>
    <xf numFmtId="0" fontId="4" fillId="0" borderId="15" xfId="0" applyFont="1" applyBorder="1" applyAlignment="1"/>
    <xf numFmtId="0" fontId="26" fillId="0" borderId="13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26" fillId="0" borderId="26" xfId="0" applyFont="1" applyBorder="1" applyAlignment="1"/>
    <xf numFmtId="0" fontId="4" fillId="0" borderId="28" xfId="0" applyFont="1" applyBorder="1" applyAlignment="1"/>
    <xf numFmtId="0" fontId="11" fillId="0" borderId="31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9" fontId="31" fillId="0" borderId="31" xfId="0" applyNumberFormat="1" applyFont="1" applyBorder="1" applyAlignment="1">
      <alignment horizontal="center"/>
    </xf>
    <xf numFmtId="9" fontId="31" fillId="0" borderId="14" xfId="0" applyNumberFormat="1" applyFont="1" applyBorder="1" applyAlignment="1">
      <alignment horizontal="center"/>
    </xf>
    <xf numFmtId="9" fontId="31" fillId="0" borderId="15" xfId="0" applyNumberFormat="1" applyFont="1" applyBorder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5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</cellXfs>
  <cellStyles count="2">
    <cellStyle name="Comma" xfId="1" builtinId="3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PNG"/><Relationship Id="rId7" Type="http://schemas.openxmlformats.org/officeDocument/2006/relationships/image" Target="../media/image56.PNG"/><Relationship Id="rId2" Type="http://schemas.openxmlformats.org/officeDocument/2006/relationships/image" Target="../media/image51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5" Type="http://schemas.openxmlformats.org/officeDocument/2006/relationships/image" Target="../media/image54.PNG"/><Relationship Id="rId4" Type="http://schemas.openxmlformats.org/officeDocument/2006/relationships/image" Target="../media/image53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26" Type="http://schemas.openxmlformats.org/officeDocument/2006/relationships/image" Target="../media/image26.wmf"/><Relationship Id="rId39" Type="http://schemas.openxmlformats.org/officeDocument/2006/relationships/image" Target="../media/image39.wmf"/><Relationship Id="rId21" Type="http://schemas.openxmlformats.org/officeDocument/2006/relationships/image" Target="../media/image21.wmf"/><Relationship Id="rId34" Type="http://schemas.openxmlformats.org/officeDocument/2006/relationships/image" Target="../media/image34.wmf"/><Relationship Id="rId42" Type="http://schemas.openxmlformats.org/officeDocument/2006/relationships/image" Target="../media/image42.wmf"/><Relationship Id="rId47" Type="http://schemas.openxmlformats.org/officeDocument/2006/relationships/image" Target="../media/image47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9" Type="http://schemas.openxmlformats.org/officeDocument/2006/relationships/image" Target="../media/image29.wmf"/><Relationship Id="rId11" Type="http://schemas.openxmlformats.org/officeDocument/2006/relationships/image" Target="../media/image11.emf"/><Relationship Id="rId24" Type="http://schemas.openxmlformats.org/officeDocument/2006/relationships/image" Target="../media/image24.wmf"/><Relationship Id="rId32" Type="http://schemas.openxmlformats.org/officeDocument/2006/relationships/image" Target="../media/image32.wmf"/><Relationship Id="rId37" Type="http://schemas.openxmlformats.org/officeDocument/2006/relationships/image" Target="../media/image37.wmf"/><Relationship Id="rId40" Type="http://schemas.openxmlformats.org/officeDocument/2006/relationships/image" Target="../media/image40.wmf"/><Relationship Id="rId45" Type="http://schemas.openxmlformats.org/officeDocument/2006/relationships/image" Target="../media/image45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28" Type="http://schemas.openxmlformats.org/officeDocument/2006/relationships/image" Target="../media/image28.wmf"/><Relationship Id="rId36" Type="http://schemas.openxmlformats.org/officeDocument/2006/relationships/image" Target="../media/image36.wmf"/><Relationship Id="rId49" Type="http://schemas.openxmlformats.org/officeDocument/2006/relationships/image" Target="../media/image49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31" Type="http://schemas.openxmlformats.org/officeDocument/2006/relationships/image" Target="../media/image31.wmf"/><Relationship Id="rId44" Type="http://schemas.openxmlformats.org/officeDocument/2006/relationships/image" Target="../media/image44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Relationship Id="rId22" Type="http://schemas.openxmlformats.org/officeDocument/2006/relationships/image" Target="../media/image22.wmf"/><Relationship Id="rId27" Type="http://schemas.openxmlformats.org/officeDocument/2006/relationships/image" Target="../media/image27.wmf"/><Relationship Id="rId30" Type="http://schemas.openxmlformats.org/officeDocument/2006/relationships/image" Target="../media/image30.wmf"/><Relationship Id="rId35" Type="http://schemas.openxmlformats.org/officeDocument/2006/relationships/image" Target="../media/image35.wmf"/><Relationship Id="rId43" Type="http://schemas.openxmlformats.org/officeDocument/2006/relationships/image" Target="../media/image43.wmf"/><Relationship Id="rId48" Type="http://schemas.openxmlformats.org/officeDocument/2006/relationships/image" Target="../media/image48.wmf"/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5" Type="http://schemas.openxmlformats.org/officeDocument/2006/relationships/image" Target="../media/image25.wmf"/><Relationship Id="rId33" Type="http://schemas.openxmlformats.org/officeDocument/2006/relationships/image" Target="../media/image33.wmf"/><Relationship Id="rId38" Type="http://schemas.openxmlformats.org/officeDocument/2006/relationships/image" Target="../media/image38.wmf"/><Relationship Id="rId46" Type="http://schemas.openxmlformats.org/officeDocument/2006/relationships/image" Target="../media/image46.wmf"/><Relationship Id="rId20" Type="http://schemas.openxmlformats.org/officeDocument/2006/relationships/image" Target="../media/image20.wmf"/><Relationship Id="rId41" Type="http://schemas.openxmlformats.org/officeDocument/2006/relationships/image" Target="../media/image41.wmf"/><Relationship Id="rId1" Type="http://schemas.openxmlformats.org/officeDocument/2006/relationships/image" Target="../media/image1.wmf"/><Relationship Id="rId6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364</xdr:row>
      <xdr:rowOff>0</xdr:rowOff>
    </xdr:from>
    <xdr:to>
      <xdr:col>8</xdr:col>
      <xdr:colOff>95250</xdr:colOff>
      <xdr:row>364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1447800" y="74180700"/>
          <a:ext cx="397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209550</xdr:colOff>
      <xdr:row>364</xdr:row>
      <xdr:rowOff>0</xdr:rowOff>
    </xdr:from>
    <xdr:to>
      <xdr:col>8</xdr:col>
      <xdr:colOff>95250</xdr:colOff>
      <xdr:row>365</xdr:row>
      <xdr:rowOff>9525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114800" y="74180700"/>
          <a:ext cx="13049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723900</xdr:colOff>
      <xdr:row>366</xdr:row>
      <xdr:rowOff>19050</xdr:rowOff>
    </xdr:from>
    <xdr:to>
      <xdr:col>6</xdr:col>
      <xdr:colOff>238125</xdr:colOff>
      <xdr:row>366</xdr:row>
      <xdr:rowOff>133350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 rot="-1240293">
          <a:off x="1819275" y="74599800"/>
          <a:ext cx="2324100" cy="11430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364</xdr:row>
      <xdr:rowOff>0</xdr:rowOff>
    </xdr:from>
    <xdr:to>
      <xdr:col>6</xdr:col>
      <xdr:colOff>209550</xdr:colOff>
      <xdr:row>364</xdr:row>
      <xdr:rowOff>133350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171700" y="74180700"/>
          <a:ext cx="19431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190500</xdr:colOff>
      <xdr:row>368</xdr:row>
      <xdr:rowOff>142875</xdr:rowOff>
    </xdr:from>
    <xdr:to>
      <xdr:col>8</xdr:col>
      <xdr:colOff>409575</xdr:colOff>
      <xdr:row>368</xdr:row>
      <xdr:rowOff>142875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1285875" y="75123675"/>
          <a:ext cx="4448175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361</xdr:row>
      <xdr:rowOff>123825</xdr:rowOff>
    </xdr:from>
    <xdr:to>
      <xdr:col>8</xdr:col>
      <xdr:colOff>457200</xdr:colOff>
      <xdr:row>362</xdr:row>
      <xdr:rowOff>0</xdr:rowOff>
    </xdr:to>
    <xdr:sp macro="" textlink="">
      <xdr:nvSpPr>
        <xdr:cNvPr id="45" name="Freeform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1314450" y="73704450"/>
          <a:ext cx="4467225" cy="76200"/>
        </a:xfrm>
        <a:custGeom>
          <a:avLst/>
          <a:gdLst>
            <a:gd name="T0" fmla="*/ 0 w 474"/>
            <a:gd name="T1" fmla="*/ 2147483647 h 8"/>
            <a:gd name="T2" fmla="*/ 2147483647 w 474"/>
            <a:gd name="T3" fmla="*/ 2147483647 h 8"/>
            <a:gd name="T4" fmla="*/ 2147483647 w 474"/>
            <a:gd name="T5" fmla="*/ 2147483647 h 8"/>
            <a:gd name="T6" fmla="*/ 2147483647 w 474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474"/>
            <a:gd name="T13" fmla="*/ 0 h 8"/>
            <a:gd name="T14" fmla="*/ 474 w 474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4" h="8">
              <a:moveTo>
                <a:pt x="0" y="7"/>
              </a:moveTo>
              <a:cubicBezTo>
                <a:pt x="147" y="7"/>
                <a:pt x="294" y="8"/>
                <a:pt x="366" y="7"/>
              </a:cubicBezTo>
              <a:cubicBezTo>
                <a:pt x="438" y="6"/>
                <a:pt x="412" y="3"/>
                <a:pt x="430" y="2"/>
              </a:cubicBezTo>
              <a:cubicBezTo>
                <a:pt x="448" y="1"/>
                <a:pt x="461" y="0"/>
                <a:pt x="474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238125</xdr:colOff>
      <xdr:row>361</xdr:row>
      <xdr:rowOff>190500</xdr:rowOff>
    </xdr:from>
    <xdr:to>
      <xdr:col>2</xdr:col>
      <xdr:colOff>238125</xdr:colOff>
      <xdr:row>368</xdr:row>
      <xdr:rowOff>152400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1333500" y="73771125"/>
          <a:ext cx="0" cy="13620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361</xdr:row>
      <xdr:rowOff>190500</xdr:rowOff>
    </xdr:from>
    <xdr:to>
      <xdr:col>2</xdr:col>
      <xdr:colOff>466725</xdr:colOff>
      <xdr:row>364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1562100" y="7377112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364</xdr:row>
      <xdr:rowOff>0</xdr:rowOff>
    </xdr:from>
    <xdr:to>
      <xdr:col>3</xdr:col>
      <xdr:colOff>247650</xdr:colOff>
      <xdr:row>364</xdr:row>
      <xdr:rowOff>47625</xdr:rowOff>
    </xdr:to>
    <xdr:sp macro="" textlink="">
      <xdr:nvSpPr>
        <xdr:cNvPr id="48" name="AutoShap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1419225" y="74180700"/>
          <a:ext cx="752475" cy="47625"/>
        </a:xfrm>
        <a:prstGeom prst="irregularSeal2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364</xdr:row>
      <xdr:rowOff>19050</xdr:rowOff>
    </xdr:from>
    <xdr:to>
      <xdr:col>3</xdr:col>
      <xdr:colOff>247650</xdr:colOff>
      <xdr:row>364</xdr:row>
      <xdr:rowOff>66675</xdr:rowOff>
    </xdr:to>
    <xdr:sp macro="" textlink="">
      <xdr:nvSpPr>
        <xdr:cNvPr id="49" name="AutoShap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1419225" y="74199750"/>
          <a:ext cx="752475" cy="47625"/>
        </a:xfrm>
        <a:prstGeom prst="irregularSeal2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364</xdr:row>
      <xdr:rowOff>28575</xdr:rowOff>
    </xdr:from>
    <xdr:to>
      <xdr:col>6</xdr:col>
      <xdr:colOff>352425</xdr:colOff>
      <xdr:row>364</xdr:row>
      <xdr:rowOff>76200</xdr:rowOff>
    </xdr:to>
    <xdr:sp macro="" textlink="">
      <xdr:nvSpPr>
        <xdr:cNvPr id="50" name="AutoShap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210050" y="74209275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364</xdr:row>
      <xdr:rowOff>114300</xdr:rowOff>
    </xdr:from>
    <xdr:to>
      <xdr:col>6</xdr:col>
      <xdr:colOff>504825</xdr:colOff>
      <xdr:row>364</xdr:row>
      <xdr:rowOff>161925</xdr:rowOff>
    </xdr:to>
    <xdr:sp macro="" textlink="">
      <xdr:nvSpPr>
        <xdr:cNvPr id="51" name="AutoShap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362450" y="74295000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609600</xdr:colOff>
      <xdr:row>364</xdr:row>
      <xdr:rowOff>38100</xdr:rowOff>
    </xdr:from>
    <xdr:to>
      <xdr:col>6</xdr:col>
      <xdr:colOff>657225</xdr:colOff>
      <xdr:row>364</xdr:row>
      <xdr:rowOff>85725</xdr:rowOff>
    </xdr:to>
    <xdr:sp macro="" textlink="">
      <xdr:nvSpPr>
        <xdr:cNvPr id="52" name="AutoShap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74218800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364</xdr:row>
      <xdr:rowOff>114300</xdr:rowOff>
    </xdr:from>
    <xdr:to>
      <xdr:col>7</xdr:col>
      <xdr:colOff>57150</xdr:colOff>
      <xdr:row>364</xdr:row>
      <xdr:rowOff>161925</xdr:rowOff>
    </xdr:to>
    <xdr:sp macro="" textlink="">
      <xdr:nvSpPr>
        <xdr:cNvPr id="53" name="AutoShap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74295000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171450</xdr:colOff>
      <xdr:row>364</xdr:row>
      <xdr:rowOff>28575</xdr:rowOff>
    </xdr:from>
    <xdr:to>
      <xdr:col>7</xdr:col>
      <xdr:colOff>219075</xdr:colOff>
      <xdr:row>364</xdr:row>
      <xdr:rowOff>76200</xdr:rowOff>
    </xdr:to>
    <xdr:sp macro="" textlink="">
      <xdr:nvSpPr>
        <xdr:cNvPr id="54" name="AutoShap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4848225" y="74209275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323850</xdr:colOff>
      <xdr:row>364</xdr:row>
      <xdr:rowOff>114300</xdr:rowOff>
    </xdr:from>
    <xdr:to>
      <xdr:col>7</xdr:col>
      <xdr:colOff>371475</xdr:colOff>
      <xdr:row>364</xdr:row>
      <xdr:rowOff>161925</xdr:rowOff>
    </xdr:to>
    <xdr:sp macro="" textlink="">
      <xdr:nvSpPr>
        <xdr:cNvPr id="55" name="AutoShap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5000625" y="74295000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485775</xdr:colOff>
      <xdr:row>364</xdr:row>
      <xdr:rowOff>47625</xdr:rowOff>
    </xdr:from>
    <xdr:to>
      <xdr:col>7</xdr:col>
      <xdr:colOff>533400</xdr:colOff>
      <xdr:row>364</xdr:row>
      <xdr:rowOff>95250</xdr:rowOff>
    </xdr:to>
    <xdr:sp macro="" textlink="">
      <xdr:nvSpPr>
        <xdr:cNvPr id="56" name="AutoShap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162550" y="74228325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638175</xdr:colOff>
      <xdr:row>364</xdr:row>
      <xdr:rowOff>123825</xdr:rowOff>
    </xdr:from>
    <xdr:to>
      <xdr:col>8</xdr:col>
      <xdr:colOff>38100</xdr:colOff>
      <xdr:row>364</xdr:row>
      <xdr:rowOff>171450</xdr:rowOff>
    </xdr:to>
    <xdr:sp macro="" textlink="">
      <xdr:nvSpPr>
        <xdr:cNvPr id="57" name="AutoShap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314950" y="74304525"/>
          <a:ext cx="47625" cy="476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276225</xdr:colOff>
      <xdr:row>364</xdr:row>
      <xdr:rowOff>114300</xdr:rowOff>
    </xdr:from>
    <xdr:to>
      <xdr:col>6</xdr:col>
      <xdr:colOff>295275</xdr:colOff>
      <xdr:row>364</xdr:row>
      <xdr:rowOff>133350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181475" y="74295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390525</xdr:colOff>
      <xdr:row>364</xdr:row>
      <xdr:rowOff>152400</xdr:rowOff>
    </xdr:from>
    <xdr:to>
      <xdr:col>6</xdr:col>
      <xdr:colOff>409575</xdr:colOff>
      <xdr:row>364</xdr:row>
      <xdr:rowOff>171450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74333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364</xdr:row>
      <xdr:rowOff>66675</xdr:rowOff>
    </xdr:from>
    <xdr:to>
      <xdr:col>6</xdr:col>
      <xdr:colOff>447675</xdr:colOff>
      <xdr:row>364</xdr:row>
      <xdr:rowOff>85725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74247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561975</xdr:colOff>
      <xdr:row>364</xdr:row>
      <xdr:rowOff>133350</xdr:rowOff>
    </xdr:from>
    <xdr:to>
      <xdr:col>6</xdr:col>
      <xdr:colOff>581025</xdr:colOff>
      <xdr:row>364</xdr:row>
      <xdr:rowOff>152400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74314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504825</xdr:colOff>
      <xdr:row>364</xdr:row>
      <xdr:rowOff>47625</xdr:rowOff>
    </xdr:from>
    <xdr:to>
      <xdr:col>6</xdr:col>
      <xdr:colOff>523875</xdr:colOff>
      <xdr:row>364</xdr:row>
      <xdr:rowOff>66675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410075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647700</xdr:colOff>
      <xdr:row>364</xdr:row>
      <xdr:rowOff>142875</xdr:rowOff>
    </xdr:from>
    <xdr:to>
      <xdr:col>6</xdr:col>
      <xdr:colOff>666750</xdr:colOff>
      <xdr:row>364</xdr:row>
      <xdr:rowOff>161925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74323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304800</xdr:colOff>
      <xdr:row>364</xdr:row>
      <xdr:rowOff>161925</xdr:rowOff>
    </xdr:from>
    <xdr:to>
      <xdr:col>6</xdr:col>
      <xdr:colOff>323850</xdr:colOff>
      <xdr:row>364</xdr:row>
      <xdr:rowOff>180975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10050" y="74342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381000</xdr:colOff>
      <xdr:row>364</xdr:row>
      <xdr:rowOff>57150</xdr:rowOff>
    </xdr:from>
    <xdr:to>
      <xdr:col>6</xdr:col>
      <xdr:colOff>400050</xdr:colOff>
      <xdr:row>364</xdr:row>
      <xdr:rowOff>76200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74237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342900</xdr:colOff>
      <xdr:row>364</xdr:row>
      <xdr:rowOff>114300</xdr:rowOff>
    </xdr:from>
    <xdr:to>
      <xdr:col>6</xdr:col>
      <xdr:colOff>361950</xdr:colOff>
      <xdr:row>364</xdr:row>
      <xdr:rowOff>133350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74295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247650</xdr:colOff>
      <xdr:row>364</xdr:row>
      <xdr:rowOff>47625</xdr:rowOff>
    </xdr:from>
    <xdr:to>
      <xdr:col>6</xdr:col>
      <xdr:colOff>266700</xdr:colOff>
      <xdr:row>364</xdr:row>
      <xdr:rowOff>66675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542925</xdr:colOff>
      <xdr:row>364</xdr:row>
      <xdr:rowOff>76200</xdr:rowOff>
    </xdr:from>
    <xdr:to>
      <xdr:col>6</xdr:col>
      <xdr:colOff>561975</xdr:colOff>
      <xdr:row>364</xdr:row>
      <xdr:rowOff>95250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448175" y="742569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619125</xdr:colOff>
      <xdr:row>364</xdr:row>
      <xdr:rowOff>171450</xdr:rowOff>
    </xdr:from>
    <xdr:to>
      <xdr:col>6</xdr:col>
      <xdr:colOff>638175</xdr:colOff>
      <xdr:row>364</xdr:row>
      <xdr:rowOff>190500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524375" y="743521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364</xdr:row>
      <xdr:rowOff>171450</xdr:rowOff>
    </xdr:from>
    <xdr:to>
      <xdr:col>6</xdr:col>
      <xdr:colOff>752475</xdr:colOff>
      <xdr:row>364</xdr:row>
      <xdr:rowOff>190500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743521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364</xdr:row>
      <xdr:rowOff>85725</xdr:rowOff>
    </xdr:from>
    <xdr:to>
      <xdr:col>7</xdr:col>
      <xdr:colOff>0</xdr:colOff>
      <xdr:row>364</xdr:row>
      <xdr:rowOff>104775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74266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</xdr:colOff>
      <xdr:row>364</xdr:row>
      <xdr:rowOff>152400</xdr:rowOff>
    </xdr:from>
    <xdr:to>
      <xdr:col>7</xdr:col>
      <xdr:colOff>152400</xdr:colOff>
      <xdr:row>364</xdr:row>
      <xdr:rowOff>171450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4810125" y="74333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364</xdr:row>
      <xdr:rowOff>85725</xdr:rowOff>
    </xdr:from>
    <xdr:to>
      <xdr:col>7</xdr:col>
      <xdr:colOff>133350</xdr:colOff>
      <xdr:row>364</xdr:row>
      <xdr:rowOff>104775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74266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714375</xdr:colOff>
      <xdr:row>364</xdr:row>
      <xdr:rowOff>57150</xdr:rowOff>
    </xdr:from>
    <xdr:to>
      <xdr:col>6</xdr:col>
      <xdr:colOff>733425</xdr:colOff>
      <xdr:row>364</xdr:row>
      <xdr:rowOff>76200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4619625" y="74237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364</xdr:row>
      <xdr:rowOff>47625</xdr:rowOff>
    </xdr:from>
    <xdr:to>
      <xdr:col>7</xdr:col>
      <xdr:colOff>66675</xdr:colOff>
      <xdr:row>364</xdr:row>
      <xdr:rowOff>66675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364</xdr:row>
      <xdr:rowOff>114300</xdr:rowOff>
    </xdr:from>
    <xdr:to>
      <xdr:col>7</xdr:col>
      <xdr:colOff>219075</xdr:colOff>
      <xdr:row>364</xdr:row>
      <xdr:rowOff>133350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76800" y="74295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364</xdr:row>
      <xdr:rowOff>161925</xdr:rowOff>
    </xdr:from>
    <xdr:to>
      <xdr:col>7</xdr:col>
      <xdr:colOff>238125</xdr:colOff>
      <xdr:row>364</xdr:row>
      <xdr:rowOff>180975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895850" y="74342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238125</xdr:colOff>
      <xdr:row>364</xdr:row>
      <xdr:rowOff>47625</xdr:rowOff>
    </xdr:from>
    <xdr:to>
      <xdr:col>7</xdr:col>
      <xdr:colOff>257175</xdr:colOff>
      <xdr:row>364</xdr:row>
      <xdr:rowOff>66675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914900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364</xdr:row>
      <xdr:rowOff>76200</xdr:rowOff>
    </xdr:from>
    <xdr:to>
      <xdr:col>7</xdr:col>
      <xdr:colOff>314325</xdr:colOff>
      <xdr:row>364</xdr:row>
      <xdr:rowOff>95250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972050" y="742569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285750</xdr:colOff>
      <xdr:row>364</xdr:row>
      <xdr:rowOff>161925</xdr:rowOff>
    </xdr:from>
    <xdr:to>
      <xdr:col>7</xdr:col>
      <xdr:colOff>304800</xdr:colOff>
      <xdr:row>364</xdr:row>
      <xdr:rowOff>180975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74342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364</xdr:row>
      <xdr:rowOff>123825</xdr:rowOff>
    </xdr:from>
    <xdr:to>
      <xdr:col>7</xdr:col>
      <xdr:colOff>276225</xdr:colOff>
      <xdr:row>364</xdr:row>
      <xdr:rowOff>142875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933950" y="74304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352425</xdr:colOff>
      <xdr:row>364</xdr:row>
      <xdr:rowOff>180975</xdr:rowOff>
    </xdr:from>
    <xdr:to>
      <xdr:col>7</xdr:col>
      <xdr:colOff>371475</xdr:colOff>
      <xdr:row>365</xdr:row>
      <xdr:rowOff>0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743616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342900</xdr:colOff>
      <xdr:row>364</xdr:row>
      <xdr:rowOff>47625</xdr:rowOff>
    </xdr:from>
    <xdr:to>
      <xdr:col>7</xdr:col>
      <xdr:colOff>361950</xdr:colOff>
      <xdr:row>364</xdr:row>
      <xdr:rowOff>66675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5019675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400050</xdr:colOff>
      <xdr:row>364</xdr:row>
      <xdr:rowOff>142875</xdr:rowOff>
    </xdr:from>
    <xdr:to>
      <xdr:col>7</xdr:col>
      <xdr:colOff>419100</xdr:colOff>
      <xdr:row>364</xdr:row>
      <xdr:rowOff>161925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74323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409575</xdr:colOff>
      <xdr:row>364</xdr:row>
      <xdr:rowOff>47625</xdr:rowOff>
    </xdr:from>
    <xdr:to>
      <xdr:col>7</xdr:col>
      <xdr:colOff>428625</xdr:colOff>
      <xdr:row>364</xdr:row>
      <xdr:rowOff>66675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5086350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400050</xdr:colOff>
      <xdr:row>364</xdr:row>
      <xdr:rowOff>104775</xdr:rowOff>
    </xdr:from>
    <xdr:to>
      <xdr:col>7</xdr:col>
      <xdr:colOff>419100</xdr:colOff>
      <xdr:row>364</xdr:row>
      <xdr:rowOff>123825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74285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504825</xdr:colOff>
      <xdr:row>364</xdr:row>
      <xdr:rowOff>171450</xdr:rowOff>
    </xdr:from>
    <xdr:to>
      <xdr:col>7</xdr:col>
      <xdr:colOff>523875</xdr:colOff>
      <xdr:row>364</xdr:row>
      <xdr:rowOff>190500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743521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495300</xdr:colOff>
      <xdr:row>364</xdr:row>
      <xdr:rowOff>123825</xdr:rowOff>
    </xdr:from>
    <xdr:to>
      <xdr:col>7</xdr:col>
      <xdr:colOff>514350</xdr:colOff>
      <xdr:row>364</xdr:row>
      <xdr:rowOff>142875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304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561975</xdr:colOff>
      <xdr:row>364</xdr:row>
      <xdr:rowOff>142875</xdr:rowOff>
    </xdr:from>
    <xdr:to>
      <xdr:col>7</xdr:col>
      <xdr:colOff>581025</xdr:colOff>
      <xdr:row>364</xdr:row>
      <xdr:rowOff>161925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4323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609600</xdr:colOff>
      <xdr:row>364</xdr:row>
      <xdr:rowOff>57150</xdr:rowOff>
    </xdr:from>
    <xdr:to>
      <xdr:col>7</xdr:col>
      <xdr:colOff>628650</xdr:colOff>
      <xdr:row>364</xdr:row>
      <xdr:rowOff>76200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74237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609600</xdr:colOff>
      <xdr:row>364</xdr:row>
      <xdr:rowOff>114300</xdr:rowOff>
    </xdr:from>
    <xdr:to>
      <xdr:col>7</xdr:col>
      <xdr:colOff>628650</xdr:colOff>
      <xdr:row>364</xdr:row>
      <xdr:rowOff>133350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74295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542925</xdr:colOff>
      <xdr:row>364</xdr:row>
      <xdr:rowOff>38100</xdr:rowOff>
    </xdr:from>
    <xdr:to>
      <xdr:col>7</xdr:col>
      <xdr:colOff>561975</xdr:colOff>
      <xdr:row>364</xdr:row>
      <xdr:rowOff>57150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74218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571500</xdr:colOff>
      <xdr:row>364</xdr:row>
      <xdr:rowOff>104775</xdr:rowOff>
    </xdr:from>
    <xdr:to>
      <xdr:col>7</xdr:col>
      <xdr:colOff>590550</xdr:colOff>
      <xdr:row>364</xdr:row>
      <xdr:rowOff>123825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5248275" y="74285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364</xdr:row>
      <xdr:rowOff>57150</xdr:rowOff>
    </xdr:from>
    <xdr:to>
      <xdr:col>8</xdr:col>
      <xdr:colOff>19050</xdr:colOff>
      <xdr:row>364</xdr:row>
      <xdr:rowOff>76200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74237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</xdr:colOff>
      <xdr:row>364</xdr:row>
      <xdr:rowOff>114300</xdr:rowOff>
    </xdr:from>
    <xdr:to>
      <xdr:col>8</xdr:col>
      <xdr:colOff>66675</xdr:colOff>
      <xdr:row>364</xdr:row>
      <xdr:rowOff>133350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5372100" y="74295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</xdr:colOff>
      <xdr:row>364</xdr:row>
      <xdr:rowOff>180975</xdr:rowOff>
    </xdr:from>
    <xdr:to>
      <xdr:col>8</xdr:col>
      <xdr:colOff>66675</xdr:colOff>
      <xdr:row>365</xdr:row>
      <xdr:rowOff>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5372100" y="743616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364</xdr:row>
      <xdr:rowOff>47625</xdr:rowOff>
    </xdr:from>
    <xdr:to>
      <xdr:col>8</xdr:col>
      <xdr:colOff>85725</xdr:colOff>
      <xdr:row>364</xdr:row>
      <xdr:rowOff>66675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4228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457200</xdr:colOff>
      <xdr:row>364</xdr:row>
      <xdr:rowOff>133350</xdr:rowOff>
    </xdr:from>
    <xdr:to>
      <xdr:col>7</xdr:col>
      <xdr:colOff>476250</xdr:colOff>
      <xdr:row>364</xdr:row>
      <xdr:rowOff>152400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74314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409575</xdr:colOff>
      <xdr:row>364</xdr:row>
      <xdr:rowOff>9525</xdr:rowOff>
    </xdr:from>
    <xdr:to>
      <xdr:col>4</xdr:col>
      <xdr:colOff>609600</xdr:colOff>
      <xdr:row>364</xdr:row>
      <xdr:rowOff>38100</xdr:rowOff>
    </xdr:to>
    <xdr:sp macro="" textlink="">
      <xdr:nvSpPr>
        <xdr:cNvPr id="99" name="AutoShap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2905125" y="74190225"/>
          <a:ext cx="200025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364</xdr:row>
      <xdr:rowOff>19050</xdr:rowOff>
    </xdr:from>
    <xdr:to>
      <xdr:col>5</xdr:col>
      <xdr:colOff>514350</xdr:colOff>
      <xdr:row>364</xdr:row>
      <xdr:rowOff>47625</xdr:rowOff>
    </xdr:to>
    <xdr:sp macro="" textlink="">
      <xdr:nvSpPr>
        <xdr:cNvPr id="100" name="AutoShap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514725" y="74199750"/>
          <a:ext cx="200025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364</xdr:row>
      <xdr:rowOff>9525</xdr:rowOff>
    </xdr:from>
    <xdr:to>
      <xdr:col>6</xdr:col>
      <xdr:colOff>209550</xdr:colOff>
      <xdr:row>364</xdr:row>
      <xdr:rowOff>47625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2571750" y="82810350"/>
          <a:ext cx="2343150" cy="38100"/>
          <a:chOff x="548" y="7809"/>
          <a:chExt cx="208" cy="4"/>
        </a:xfrm>
      </xdr:grpSpPr>
      <xdr:sp macro="" textlink="">
        <xdr:nvSpPr>
          <xdr:cNvPr id="102" name="AutoShape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 noChangeArrowheads="1"/>
          </xdr:cNvSpPr>
        </xdr:nvSpPr>
        <xdr:spPr bwMode="auto">
          <a:xfrm>
            <a:off x="548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3" name="AutoShap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 noChangeArrowheads="1"/>
          </xdr:cNvSpPr>
        </xdr:nvSpPr>
        <xdr:spPr bwMode="auto">
          <a:xfrm>
            <a:off x="570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" name="AutoShap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>
            <a:spLocks noChangeArrowheads="1"/>
          </xdr:cNvSpPr>
        </xdr:nvSpPr>
        <xdr:spPr bwMode="auto">
          <a:xfrm>
            <a:off x="592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" name="AutoShape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613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AutoShape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7" name="AutoShape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8" name="AutoShape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677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9" name="AutoShape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>
            <a:spLocks noChangeArrowheads="1"/>
          </xdr:cNvSpPr>
        </xdr:nvSpPr>
        <xdr:spPr bwMode="auto">
          <a:xfrm>
            <a:off x="709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0" name="AutoShape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>
            <a:spLocks noChangeArrowheads="1"/>
          </xdr:cNvSpPr>
        </xdr:nvSpPr>
        <xdr:spPr bwMode="auto">
          <a:xfrm>
            <a:off x="72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" name="AutoShape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735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257175</xdr:colOff>
      <xdr:row>364</xdr:row>
      <xdr:rowOff>57150</xdr:rowOff>
    </xdr:from>
    <xdr:to>
      <xdr:col>6</xdr:col>
      <xdr:colOff>209550</xdr:colOff>
      <xdr:row>364</xdr:row>
      <xdr:rowOff>95250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GrpSpPr>
          <a:grpSpLocks/>
        </xdr:cNvGrpSpPr>
      </xdr:nvGrpSpPr>
      <xdr:grpSpPr bwMode="auto">
        <a:xfrm>
          <a:off x="2571750" y="82857975"/>
          <a:ext cx="2343150" cy="38100"/>
          <a:chOff x="548" y="7809"/>
          <a:chExt cx="208" cy="4"/>
        </a:xfrm>
      </xdr:grpSpPr>
      <xdr:sp macro="" textlink="">
        <xdr:nvSpPr>
          <xdr:cNvPr id="113" name="AutoShape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>
            <a:spLocks noChangeArrowheads="1"/>
          </xdr:cNvSpPr>
        </xdr:nvSpPr>
        <xdr:spPr bwMode="auto">
          <a:xfrm>
            <a:off x="548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4" name="AutoShape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>
            <a:spLocks noChangeArrowheads="1"/>
          </xdr:cNvSpPr>
        </xdr:nvSpPr>
        <xdr:spPr bwMode="auto">
          <a:xfrm>
            <a:off x="570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5" name="AutoShape 114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592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6" name="AutoShape 11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>
            <a:spLocks noChangeArrowheads="1"/>
          </xdr:cNvSpPr>
        </xdr:nvSpPr>
        <xdr:spPr bwMode="auto">
          <a:xfrm>
            <a:off x="613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7" name="AutoShape 116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8" name="AutoShape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9" name="AutoShape 118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>
            <a:spLocks noChangeArrowheads="1"/>
          </xdr:cNvSpPr>
        </xdr:nvSpPr>
        <xdr:spPr bwMode="auto">
          <a:xfrm>
            <a:off x="677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0" name="AutoShape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>
            <a:spLocks noChangeArrowheads="1"/>
          </xdr:cNvSpPr>
        </xdr:nvSpPr>
        <xdr:spPr bwMode="auto">
          <a:xfrm>
            <a:off x="709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1" name="AutoShape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>
            <a:spLocks noChangeArrowheads="1"/>
          </xdr:cNvSpPr>
        </xdr:nvSpPr>
        <xdr:spPr bwMode="auto">
          <a:xfrm>
            <a:off x="72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2" name="AutoShape 121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>
            <a:spLocks noChangeArrowheads="1"/>
          </xdr:cNvSpPr>
        </xdr:nvSpPr>
        <xdr:spPr bwMode="auto">
          <a:xfrm>
            <a:off x="735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257175</xdr:colOff>
      <xdr:row>364</xdr:row>
      <xdr:rowOff>76200</xdr:rowOff>
    </xdr:from>
    <xdr:to>
      <xdr:col>6</xdr:col>
      <xdr:colOff>209550</xdr:colOff>
      <xdr:row>364</xdr:row>
      <xdr:rowOff>114300</xdr:rowOff>
    </xdr:to>
    <xdr:grpSp>
      <xdr:nvGrpSpPr>
        <xdr:cNvPr id="123" name="Group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GrpSpPr>
          <a:grpSpLocks/>
        </xdr:cNvGrpSpPr>
      </xdr:nvGrpSpPr>
      <xdr:grpSpPr bwMode="auto">
        <a:xfrm>
          <a:off x="2571750" y="82877025"/>
          <a:ext cx="2343150" cy="38100"/>
          <a:chOff x="548" y="7809"/>
          <a:chExt cx="208" cy="4"/>
        </a:xfrm>
      </xdr:grpSpPr>
      <xdr:sp macro="" textlink="">
        <xdr:nvSpPr>
          <xdr:cNvPr id="124" name="AutoShape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>
            <a:spLocks noChangeArrowheads="1"/>
          </xdr:cNvSpPr>
        </xdr:nvSpPr>
        <xdr:spPr bwMode="auto">
          <a:xfrm>
            <a:off x="548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5" name="AutoShape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>
            <a:spLocks noChangeArrowheads="1"/>
          </xdr:cNvSpPr>
        </xdr:nvSpPr>
        <xdr:spPr bwMode="auto">
          <a:xfrm>
            <a:off x="570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6" name="AutoShape 125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592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7" name="AutoShape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>
            <a:spLocks noChangeArrowheads="1"/>
          </xdr:cNvSpPr>
        </xdr:nvSpPr>
        <xdr:spPr bwMode="auto">
          <a:xfrm>
            <a:off x="613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8" name="AutoShape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9" name="AutoShape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0" name="AutoShape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>
            <a:spLocks noChangeArrowheads="1"/>
          </xdr:cNvSpPr>
        </xdr:nvSpPr>
        <xdr:spPr bwMode="auto">
          <a:xfrm>
            <a:off x="677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1" name="AutoShape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>
            <a:spLocks noChangeArrowheads="1"/>
          </xdr:cNvSpPr>
        </xdr:nvSpPr>
        <xdr:spPr bwMode="auto">
          <a:xfrm>
            <a:off x="709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2" name="AutoShape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>
            <a:spLocks noChangeArrowheads="1"/>
          </xdr:cNvSpPr>
        </xdr:nvSpPr>
        <xdr:spPr bwMode="auto">
          <a:xfrm>
            <a:off x="72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3" name="AutoShape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>
            <a:spLocks noChangeArrowheads="1"/>
          </xdr:cNvSpPr>
        </xdr:nvSpPr>
        <xdr:spPr bwMode="auto">
          <a:xfrm>
            <a:off x="735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247650</xdr:colOff>
      <xdr:row>364</xdr:row>
      <xdr:rowOff>95250</xdr:rowOff>
    </xdr:from>
    <xdr:to>
      <xdr:col>6</xdr:col>
      <xdr:colOff>200025</xdr:colOff>
      <xdr:row>364</xdr:row>
      <xdr:rowOff>133350</xdr:rowOff>
    </xdr:to>
    <xdr:grpSp>
      <xdr:nvGrpSpPr>
        <xdr:cNvPr id="134" name="Group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>
          <a:grpSpLocks/>
        </xdr:cNvGrpSpPr>
      </xdr:nvGrpSpPr>
      <xdr:grpSpPr bwMode="auto">
        <a:xfrm>
          <a:off x="2562225" y="82896075"/>
          <a:ext cx="2343150" cy="38100"/>
          <a:chOff x="548" y="7809"/>
          <a:chExt cx="208" cy="4"/>
        </a:xfrm>
      </xdr:grpSpPr>
      <xdr:sp macro="" textlink="">
        <xdr:nvSpPr>
          <xdr:cNvPr id="135" name="AutoShape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>
            <a:spLocks noChangeArrowheads="1"/>
          </xdr:cNvSpPr>
        </xdr:nvSpPr>
        <xdr:spPr bwMode="auto">
          <a:xfrm>
            <a:off x="548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6" name="AutoShape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>
            <a:spLocks noChangeArrowheads="1"/>
          </xdr:cNvSpPr>
        </xdr:nvSpPr>
        <xdr:spPr bwMode="auto">
          <a:xfrm>
            <a:off x="570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7" name="AutoShape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>
            <a:spLocks noChangeArrowheads="1"/>
          </xdr:cNvSpPr>
        </xdr:nvSpPr>
        <xdr:spPr bwMode="auto">
          <a:xfrm>
            <a:off x="592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8" name="AutoShape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>
            <a:spLocks noChangeArrowheads="1"/>
          </xdr:cNvSpPr>
        </xdr:nvSpPr>
        <xdr:spPr bwMode="auto">
          <a:xfrm>
            <a:off x="613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9" name="AutoShape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0" name="AutoShape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1" name="AutoShape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>
            <a:spLocks noChangeArrowheads="1"/>
          </xdr:cNvSpPr>
        </xdr:nvSpPr>
        <xdr:spPr bwMode="auto">
          <a:xfrm>
            <a:off x="677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2" name="AutoShape 141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>
            <a:spLocks noChangeArrowheads="1"/>
          </xdr:cNvSpPr>
        </xdr:nvSpPr>
        <xdr:spPr bwMode="auto">
          <a:xfrm>
            <a:off x="709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3" name="AutoShape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>
            <a:spLocks noChangeArrowheads="1"/>
          </xdr:cNvSpPr>
        </xdr:nvSpPr>
        <xdr:spPr bwMode="auto">
          <a:xfrm>
            <a:off x="725" y="7809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4" name="AutoShape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>
            <a:spLocks noChangeArrowheads="1"/>
          </xdr:cNvSpPr>
        </xdr:nvSpPr>
        <xdr:spPr bwMode="auto">
          <a:xfrm>
            <a:off x="735" y="7810"/>
            <a:ext cx="21" cy="3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381000</xdr:colOff>
      <xdr:row>364</xdr:row>
      <xdr:rowOff>38100</xdr:rowOff>
    </xdr:from>
    <xdr:to>
      <xdr:col>4</xdr:col>
      <xdr:colOff>609600</xdr:colOff>
      <xdr:row>364</xdr:row>
      <xdr:rowOff>66675</xdr:rowOff>
    </xdr:to>
    <xdr:sp macro="" textlink="">
      <xdr:nvSpPr>
        <xdr:cNvPr id="145" name="AutoShap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2876550" y="74218800"/>
          <a:ext cx="228600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364</xdr:row>
      <xdr:rowOff>66675</xdr:rowOff>
    </xdr:from>
    <xdr:to>
      <xdr:col>4</xdr:col>
      <xdr:colOff>638175</xdr:colOff>
      <xdr:row>364</xdr:row>
      <xdr:rowOff>95250</xdr:rowOff>
    </xdr:to>
    <xdr:sp macro="" textlink="">
      <xdr:nvSpPr>
        <xdr:cNvPr id="146" name="AutoShap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2905125" y="74247375"/>
          <a:ext cx="228600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364</xdr:row>
      <xdr:rowOff>104775</xdr:rowOff>
    </xdr:from>
    <xdr:to>
      <xdr:col>4</xdr:col>
      <xdr:colOff>619125</xdr:colOff>
      <xdr:row>364</xdr:row>
      <xdr:rowOff>133350</xdr:rowOff>
    </xdr:to>
    <xdr:sp macro="" textlink="">
      <xdr:nvSpPr>
        <xdr:cNvPr id="147" name="AutoShap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886075" y="74285475"/>
          <a:ext cx="228600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257175</xdr:colOff>
      <xdr:row>364</xdr:row>
      <xdr:rowOff>66675</xdr:rowOff>
    </xdr:from>
    <xdr:to>
      <xdr:col>5</xdr:col>
      <xdr:colOff>485775</xdr:colOff>
      <xdr:row>364</xdr:row>
      <xdr:rowOff>95250</xdr:rowOff>
    </xdr:to>
    <xdr:sp macro="" textlink="">
      <xdr:nvSpPr>
        <xdr:cNvPr id="148" name="AutoShap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3457575" y="74247375"/>
          <a:ext cx="228600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364</xdr:row>
      <xdr:rowOff>104775</xdr:rowOff>
    </xdr:from>
    <xdr:to>
      <xdr:col>5</xdr:col>
      <xdr:colOff>552450</xdr:colOff>
      <xdr:row>364</xdr:row>
      <xdr:rowOff>133350</xdr:rowOff>
    </xdr:to>
    <xdr:sp macro="" textlink="">
      <xdr:nvSpPr>
        <xdr:cNvPr id="149" name="AutoShap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3524250" y="74285475"/>
          <a:ext cx="228600" cy="285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367</xdr:row>
      <xdr:rowOff>142875</xdr:rowOff>
    </xdr:from>
    <xdr:to>
      <xdr:col>3</xdr:col>
      <xdr:colOff>600075</xdr:colOff>
      <xdr:row>368</xdr:row>
      <xdr:rowOff>9525</xdr:rowOff>
    </xdr:to>
    <xdr:sp macro="" textlink="">
      <xdr:nvSpPr>
        <xdr:cNvPr id="150" name="AutoShap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 rot="19968986" flipV="1">
          <a:off x="1885950" y="74923650"/>
          <a:ext cx="609600" cy="66675"/>
        </a:xfrm>
        <a:prstGeom prst="irregularSeal2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366</xdr:row>
      <xdr:rowOff>9525</xdr:rowOff>
    </xdr:from>
    <xdr:to>
      <xdr:col>4</xdr:col>
      <xdr:colOff>57150</xdr:colOff>
      <xdr:row>366</xdr:row>
      <xdr:rowOff>171450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495550" y="74590275"/>
          <a:ext cx="571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367</xdr:row>
      <xdr:rowOff>76200</xdr:rowOff>
    </xdr:from>
    <xdr:to>
      <xdr:col>4</xdr:col>
      <xdr:colOff>180975</xdr:colOff>
      <xdr:row>368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 flipH="1" flipV="1">
          <a:off x="2609850" y="74856975"/>
          <a:ext cx="6667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485775</xdr:colOff>
      <xdr:row>362</xdr:row>
      <xdr:rowOff>114300</xdr:rowOff>
    </xdr:from>
    <xdr:to>
      <xdr:col>2</xdr:col>
      <xdr:colOff>685800</xdr:colOff>
      <xdr:row>363</xdr:row>
      <xdr:rowOff>85725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581150" y="73894950"/>
          <a:ext cx="2000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D</a:t>
          </a:r>
        </a:p>
      </xdr:txBody>
    </xdr:sp>
    <xdr:clientData/>
  </xdr:twoCellAnchor>
  <xdr:twoCellAnchor>
    <xdr:from>
      <xdr:col>2</xdr:col>
      <xdr:colOff>177800</xdr:colOff>
      <xdr:row>364</xdr:row>
      <xdr:rowOff>185739</xdr:rowOff>
    </xdr:from>
    <xdr:to>
      <xdr:col>2</xdr:col>
      <xdr:colOff>463550</xdr:colOff>
      <xdr:row>366</xdr:row>
      <xdr:rowOff>44451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62113" y="82481739"/>
          <a:ext cx="285750" cy="2555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R'=</a:t>
          </a:r>
        </a:p>
      </xdr:txBody>
    </xdr:sp>
    <xdr:clientData/>
  </xdr:twoCellAnchor>
  <xdr:twoCellAnchor>
    <xdr:from>
      <xdr:col>4</xdr:col>
      <xdr:colOff>257175</xdr:colOff>
      <xdr:row>367</xdr:row>
      <xdr:rowOff>38100</xdr:rowOff>
    </xdr:from>
    <xdr:to>
      <xdr:col>4</xdr:col>
      <xdr:colOff>485775</xdr:colOff>
      <xdr:row>368</xdr:row>
      <xdr:rowOff>28575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752725" y="74818875"/>
          <a:ext cx="2286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t</a:t>
          </a:r>
        </a:p>
      </xdr:txBody>
    </xdr:sp>
    <xdr:clientData/>
  </xdr:twoCellAnchor>
  <xdr:twoCellAnchor>
    <xdr:from>
      <xdr:col>4</xdr:col>
      <xdr:colOff>161925</xdr:colOff>
      <xdr:row>365</xdr:row>
      <xdr:rowOff>0</xdr:rowOff>
    </xdr:from>
    <xdr:to>
      <xdr:col>4</xdr:col>
      <xdr:colOff>457200</xdr:colOff>
      <xdr:row>365</xdr:row>
      <xdr:rowOff>180975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657475" y="74380725"/>
          <a:ext cx="2952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1:3</a:t>
          </a:r>
        </a:p>
      </xdr:txBody>
    </xdr:sp>
    <xdr:clientData/>
  </xdr:twoCellAnchor>
  <xdr:twoCellAnchor>
    <xdr:from>
      <xdr:col>2</xdr:col>
      <xdr:colOff>762000</xdr:colOff>
      <xdr:row>363</xdr:row>
      <xdr:rowOff>38100</xdr:rowOff>
    </xdr:from>
    <xdr:to>
      <xdr:col>2</xdr:col>
      <xdr:colOff>762000</xdr:colOff>
      <xdr:row>363</xdr:row>
      <xdr:rowOff>180975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1857375" y="740187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362</xdr:row>
      <xdr:rowOff>190500</xdr:rowOff>
    </xdr:from>
    <xdr:to>
      <xdr:col>6</xdr:col>
      <xdr:colOff>228600</xdr:colOff>
      <xdr:row>362</xdr:row>
      <xdr:rowOff>190500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2181225" y="73971150"/>
          <a:ext cx="1952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363</xdr:row>
      <xdr:rowOff>38101</xdr:rowOff>
    </xdr:from>
    <xdr:to>
      <xdr:col>3</xdr:col>
      <xdr:colOff>257175</xdr:colOff>
      <xdr:row>363</xdr:row>
      <xdr:rowOff>38101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2246313" y="82135664"/>
          <a:ext cx="32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771525</xdr:colOff>
      <xdr:row>369</xdr:row>
      <xdr:rowOff>19050</xdr:rowOff>
    </xdr:from>
    <xdr:to>
      <xdr:col>2</xdr:col>
      <xdr:colOff>771525</xdr:colOff>
      <xdr:row>370</xdr:row>
      <xdr:rowOff>38100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1866900" y="751998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369</xdr:row>
      <xdr:rowOff>9525</xdr:rowOff>
    </xdr:from>
    <xdr:to>
      <xdr:col>6</xdr:col>
      <xdr:colOff>219075</xdr:colOff>
      <xdr:row>370</xdr:row>
      <xdr:rowOff>57150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4124325" y="75190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771525</xdr:colOff>
      <xdr:row>369</xdr:row>
      <xdr:rowOff>104775</xdr:rowOff>
    </xdr:from>
    <xdr:to>
      <xdr:col>6</xdr:col>
      <xdr:colOff>219075</xdr:colOff>
      <xdr:row>369</xdr:row>
      <xdr:rowOff>104775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1866900" y="7528560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674689</xdr:colOff>
      <xdr:row>369</xdr:row>
      <xdr:rowOff>195263</xdr:rowOff>
    </xdr:from>
    <xdr:to>
      <xdr:col>4</xdr:col>
      <xdr:colOff>547688</xdr:colOff>
      <xdr:row>371</xdr:row>
      <xdr:rowOff>6350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984502" y="83483451"/>
          <a:ext cx="595311" cy="2079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3(R'-D')=</a:t>
          </a:r>
        </a:p>
      </xdr:txBody>
    </xdr:sp>
    <xdr:clientData/>
  </xdr:twoCellAnchor>
  <xdr:twoCellAnchor>
    <xdr:from>
      <xdr:col>3</xdr:col>
      <xdr:colOff>552450</xdr:colOff>
      <xdr:row>363</xdr:row>
      <xdr:rowOff>3175</xdr:rowOff>
    </xdr:from>
    <xdr:to>
      <xdr:col>4</xdr:col>
      <xdr:colOff>544513</xdr:colOff>
      <xdr:row>363</xdr:row>
      <xdr:rowOff>174625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862263" y="81902300"/>
          <a:ext cx="7143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2.5(R'-D')=</a:t>
          </a:r>
        </a:p>
      </xdr:txBody>
    </xdr:sp>
    <xdr:clientData/>
  </xdr:twoCellAnchor>
  <xdr:twoCellAnchor>
    <xdr:from>
      <xdr:col>6</xdr:col>
      <xdr:colOff>219075</xdr:colOff>
      <xdr:row>362</xdr:row>
      <xdr:rowOff>95250</xdr:rowOff>
    </xdr:from>
    <xdr:to>
      <xdr:col>6</xdr:col>
      <xdr:colOff>219075</xdr:colOff>
      <xdr:row>363</xdr:row>
      <xdr:rowOff>190500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 flipV="1">
          <a:off x="4124325" y="738759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363</xdr:row>
      <xdr:rowOff>57150</xdr:rowOff>
    </xdr:from>
    <xdr:to>
      <xdr:col>3</xdr:col>
      <xdr:colOff>257175</xdr:colOff>
      <xdr:row>364</xdr:row>
      <xdr:rowOff>190500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 flipV="1">
          <a:off x="2181225" y="738378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363</xdr:row>
      <xdr:rowOff>9525</xdr:rowOff>
    </xdr:from>
    <xdr:to>
      <xdr:col>5</xdr:col>
      <xdr:colOff>0</xdr:colOff>
      <xdr:row>363</xdr:row>
      <xdr:rowOff>171450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543175" y="73990200"/>
          <a:ext cx="6572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Bed Level</a:t>
          </a:r>
        </a:p>
      </xdr:txBody>
    </xdr:sp>
    <xdr:clientData/>
  </xdr:twoCellAnchor>
  <xdr:twoCellAnchor>
    <xdr:from>
      <xdr:col>6</xdr:col>
      <xdr:colOff>485775</xdr:colOff>
      <xdr:row>361</xdr:row>
      <xdr:rowOff>95250</xdr:rowOff>
    </xdr:from>
    <xdr:to>
      <xdr:col>6</xdr:col>
      <xdr:colOff>695325</xdr:colOff>
      <xdr:row>361</xdr:row>
      <xdr:rowOff>180975</xdr:rowOff>
    </xdr:to>
    <xdr:sp macro="" textlink="">
      <xdr:nvSpPr>
        <xdr:cNvPr id="168" name="AutoShap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 rot="10800000">
          <a:off x="4391025" y="73675875"/>
          <a:ext cx="209550" cy="857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362</xdr:row>
      <xdr:rowOff>19050</xdr:rowOff>
    </xdr:from>
    <xdr:to>
      <xdr:col>6</xdr:col>
      <xdr:colOff>752475</xdr:colOff>
      <xdr:row>362</xdr:row>
      <xdr:rowOff>19050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4371975" y="7379970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362</xdr:row>
      <xdr:rowOff>38100</xdr:rowOff>
    </xdr:from>
    <xdr:to>
      <xdr:col>6</xdr:col>
      <xdr:colOff>685800</xdr:colOff>
      <xdr:row>362</xdr:row>
      <xdr:rowOff>38100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4419600" y="738187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561975</xdr:colOff>
      <xdr:row>362</xdr:row>
      <xdr:rowOff>57150</xdr:rowOff>
    </xdr:from>
    <xdr:to>
      <xdr:col>6</xdr:col>
      <xdr:colOff>647700</xdr:colOff>
      <xdr:row>362</xdr:row>
      <xdr:rowOff>57150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4467225" y="738378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725487</xdr:colOff>
      <xdr:row>363</xdr:row>
      <xdr:rowOff>15875</xdr:rowOff>
    </xdr:from>
    <xdr:to>
      <xdr:col>7</xdr:col>
      <xdr:colOff>420687</xdr:colOff>
      <xdr:row>363</xdr:row>
      <xdr:rowOff>157163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5424487" y="82113438"/>
          <a:ext cx="465138" cy="1412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DSFL=</a:t>
          </a:r>
        </a:p>
      </xdr:txBody>
    </xdr:sp>
    <xdr:clientData/>
  </xdr:twoCellAnchor>
  <xdr:twoCellAnchor>
    <xdr:from>
      <xdr:col>6</xdr:col>
      <xdr:colOff>509588</xdr:colOff>
      <xdr:row>360</xdr:row>
      <xdr:rowOff>15875</xdr:rowOff>
    </xdr:from>
    <xdr:to>
      <xdr:col>7</xdr:col>
      <xdr:colOff>484187</xdr:colOff>
      <xdr:row>361</xdr:row>
      <xdr:rowOff>14287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5208588" y="81518125"/>
          <a:ext cx="744537" cy="196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MIN. W.L=</a:t>
          </a:r>
        </a:p>
      </xdr:txBody>
    </xdr:sp>
    <xdr:clientData/>
  </xdr:twoCellAnchor>
  <xdr:twoCellAnchor>
    <xdr:from>
      <xdr:col>6</xdr:col>
      <xdr:colOff>266700</xdr:colOff>
      <xdr:row>367</xdr:row>
      <xdr:rowOff>161925</xdr:rowOff>
    </xdr:from>
    <xdr:to>
      <xdr:col>8</xdr:col>
      <xdr:colOff>533400</xdr:colOff>
      <xdr:row>368</xdr:row>
      <xdr:rowOff>142875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171950" y="74942700"/>
          <a:ext cx="16859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Deepest Possible Scour</a:t>
          </a:r>
        </a:p>
      </xdr:txBody>
    </xdr:sp>
    <xdr:clientData/>
  </xdr:twoCellAnchor>
  <xdr:twoCellAnchor>
    <xdr:from>
      <xdr:col>4</xdr:col>
      <xdr:colOff>152929</xdr:colOff>
      <xdr:row>371</xdr:row>
      <xdr:rowOff>30692</xdr:rowOff>
    </xdr:from>
    <xdr:to>
      <xdr:col>5</xdr:col>
      <xdr:colOff>523876</xdr:colOff>
      <xdr:row>372</xdr:row>
      <xdr:rowOff>116418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185054" y="83715755"/>
          <a:ext cx="1275822" cy="2841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 Scour Protection</a:t>
          </a:r>
        </a:p>
      </xdr:txBody>
    </xdr:sp>
    <xdr:clientData/>
  </xdr:twoCellAnchor>
  <xdr:twoCellAnchor>
    <xdr:from>
      <xdr:col>1</xdr:col>
      <xdr:colOff>200025</xdr:colOff>
      <xdr:row>462</xdr:row>
      <xdr:rowOff>9525</xdr:rowOff>
    </xdr:from>
    <xdr:to>
      <xdr:col>10</xdr:col>
      <xdr:colOff>314325</xdr:colOff>
      <xdr:row>477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730704" y="104621239"/>
          <a:ext cx="7434942" cy="30520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523875</xdr:colOff>
      <xdr:row>474</xdr:row>
      <xdr:rowOff>161925</xdr:rowOff>
    </xdr:from>
    <xdr:to>
      <xdr:col>8</xdr:col>
      <xdr:colOff>161925</xdr:colOff>
      <xdr:row>474</xdr:row>
      <xdr:rowOff>161925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876300" y="967740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485775</xdr:colOff>
      <xdr:row>471</xdr:row>
      <xdr:rowOff>152400</xdr:rowOff>
    </xdr:from>
    <xdr:to>
      <xdr:col>8</xdr:col>
      <xdr:colOff>200025</xdr:colOff>
      <xdr:row>471</xdr:row>
      <xdr:rowOff>152400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 bwMode="auto">
        <a:xfrm>
          <a:off x="838200" y="96164400"/>
          <a:ext cx="468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504825</xdr:colOff>
      <xdr:row>473</xdr:row>
      <xdr:rowOff>104775</xdr:rowOff>
    </xdr:from>
    <xdr:to>
      <xdr:col>8</xdr:col>
      <xdr:colOff>219075</xdr:colOff>
      <xdr:row>473</xdr:row>
      <xdr:rowOff>104775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 bwMode="auto">
        <a:xfrm>
          <a:off x="857250" y="96516825"/>
          <a:ext cx="468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571500</xdr:colOff>
      <xdr:row>469</xdr:row>
      <xdr:rowOff>152400</xdr:rowOff>
    </xdr:from>
    <xdr:to>
      <xdr:col>8</xdr:col>
      <xdr:colOff>161925</xdr:colOff>
      <xdr:row>469</xdr:row>
      <xdr:rowOff>152400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 bwMode="auto">
        <a:xfrm>
          <a:off x="923925" y="957643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464</xdr:row>
      <xdr:rowOff>114300</xdr:rowOff>
    </xdr:from>
    <xdr:to>
      <xdr:col>4</xdr:col>
      <xdr:colOff>504825</xdr:colOff>
      <xdr:row>469</xdr:row>
      <xdr:rowOff>152400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1781175" y="94726125"/>
          <a:ext cx="1219200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464</xdr:row>
      <xdr:rowOff>114300</xdr:rowOff>
    </xdr:from>
    <xdr:to>
      <xdr:col>6</xdr:col>
      <xdr:colOff>638175</xdr:colOff>
      <xdr:row>469</xdr:row>
      <xdr:rowOff>152400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276600" y="94726125"/>
          <a:ext cx="1266825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685800</xdr:colOff>
      <xdr:row>464</xdr:row>
      <xdr:rowOff>114300</xdr:rowOff>
    </xdr:from>
    <xdr:to>
      <xdr:col>4</xdr:col>
      <xdr:colOff>523875</xdr:colOff>
      <xdr:row>469</xdr:row>
      <xdr:rowOff>152400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 bwMode="auto">
        <a:xfrm>
          <a:off x="1781175" y="94726125"/>
          <a:ext cx="12382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464</xdr:row>
      <xdr:rowOff>123825</xdr:rowOff>
    </xdr:from>
    <xdr:to>
      <xdr:col>6</xdr:col>
      <xdr:colOff>657225</xdr:colOff>
      <xdr:row>469</xdr:row>
      <xdr:rowOff>161925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 bwMode="auto">
        <a:xfrm>
          <a:off x="3276600" y="94735650"/>
          <a:ext cx="128587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714375</xdr:colOff>
      <xdr:row>464</xdr:row>
      <xdr:rowOff>123825</xdr:rowOff>
    </xdr:from>
    <xdr:to>
      <xdr:col>4</xdr:col>
      <xdr:colOff>523875</xdr:colOff>
      <xdr:row>469</xdr:row>
      <xdr:rowOff>152400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 bwMode="auto">
        <a:xfrm flipV="1">
          <a:off x="1809750" y="94735650"/>
          <a:ext cx="12096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464</xdr:row>
      <xdr:rowOff>114300</xdr:rowOff>
    </xdr:from>
    <xdr:to>
      <xdr:col>6</xdr:col>
      <xdr:colOff>657225</xdr:colOff>
      <xdr:row>469</xdr:row>
      <xdr:rowOff>152400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 bwMode="auto">
        <a:xfrm flipV="1">
          <a:off x="3286125" y="94726125"/>
          <a:ext cx="12763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504825</xdr:colOff>
      <xdr:row>464</xdr:row>
      <xdr:rowOff>123825</xdr:rowOff>
    </xdr:from>
    <xdr:to>
      <xdr:col>2</xdr:col>
      <xdr:colOff>409575</xdr:colOff>
      <xdr:row>466</xdr:row>
      <xdr:rowOff>161925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 bwMode="auto">
        <a:xfrm flipH="1">
          <a:off x="857250" y="94735650"/>
          <a:ext cx="6477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467</xdr:row>
      <xdr:rowOff>123825</xdr:rowOff>
    </xdr:from>
    <xdr:to>
      <xdr:col>2</xdr:col>
      <xdr:colOff>419100</xdr:colOff>
      <xdr:row>469</xdr:row>
      <xdr:rowOff>142875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 bwMode="auto">
        <a:xfrm flipH="1" flipV="1">
          <a:off x="771525" y="95335725"/>
          <a:ext cx="7429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464</xdr:row>
      <xdr:rowOff>114300</xdr:rowOff>
    </xdr:from>
    <xdr:to>
      <xdr:col>8</xdr:col>
      <xdr:colOff>161925</xdr:colOff>
      <xdr:row>466</xdr:row>
      <xdr:rowOff>47625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4829175" y="94726125"/>
          <a:ext cx="657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467</xdr:row>
      <xdr:rowOff>180975</xdr:rowOff>
    </xdr:from>
    <xdr:to>
      <xdr:col>8</xdr:col>
      <xdr:colOff>161925</xdr:colOff>
      <xdr:row>469</xdr:row>
      <xdr:rowOff>152400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 flipV="1">
          <a:off x="4829175" y="95392875"/>
          <a:ext cx="6572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464</xdr:row>
      <xdr:rowOff>114300</xdr:rowOff>
    </xdr:from>
    <xdr:to>
      <xdr:col>2</xdr:col>
      <xdr:colOff>409575</xdr:colOff>
      <xdr:row>469</xdr:row>
      <xdr:rowOff>142875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1504950" y="94726125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495300</xdr:colOff>
      <xdr:row>464</xdr:row>
      <xdr:rowOff>114300</xdr:rowOff>
    </xdr:from>
    <xdr:to>
      <xdr:col>2</xdr:col>
      <xdr:colOff>409575</xdr:colOff>
      <xdr:row>464</xdr:row>
      <xdr:rowOff>114300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 bwMode="auto">
        <a:xfrm flipH="1">
          <a:off x="847725" y="947261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485775</xdr:colOff>
      <xdr:row>463</xdr:row>
      <xdr:rowOff>28575</xdr:rowOff>
    </xdr:from>
    <xdr:to>
      <xdr:col>1</xdr:col>
      <xdr:colOff>485775</xdr:colOff>
      <xdr:row>467</xdr:row>
      <xdr:rowOff>47625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838200" y="944403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485775</xdr:colOff>
      <xdr:row>467</xdr:row>
      <xdr:rowOff>47625</xdr:rowOff>
    </xdr:from>
    <xdr:to>
      <xdr:col>1</xdr:col>
      <xdr:colOff>609600</xdr:colOff>
      <xdr:row>467</xdr:row>
      <xdr:rowOff>114300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 bwMode="auto">
        <a:xfrm>
          <a:off x="838200" y="95259525"/>
          <a:ext cx="1238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467</xdr:row>
      <xdr:rowOff>114300</xdr:rowOff>
    </xdr:from>
    <xdr:to>
      <xdr:col>1</xdr:col>
      <xdr:colOff>600075</xdr:colOff>
      <xdr:row>467</xdr:row>
      <xdr:rowOff>114300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 bwMode="auto">
        <a:xfrm flipH="1">
          <a:off x="733425" y="953262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485775</xdr:colOff>
      <xdr:row>468</xdr:row>
      <xdr:rowOff>38100</xdr:rowOff>
    </xdr:from>
    <xdr:to>
      <xdr:col>1</xdr:col>
      <xdr:colOff>485775</xdr:colOff>
      <xdr:row>475</xdr:row>
      <xdr:rowOff>152400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838200" y="95450025"/>
          <a:ext cx="0" cy="1514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390525</xdr:colOff>
      <xdr:row>467</xdr:row>
      <xdr:rowOff>114300</xdr:rowOff>
    </xdr:from>
    <xdr:to>
      <xdr:col>1</xdr:col>
      <xdr:colOff>485775</xdr:colOff>
      <xdr:row>468</xdr:row>
      <xdr:rowOff>38100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 flipH="1" flipV="1">
          <a:off x="742950" y="953262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464</xdr:row>
      <xdr:rowOff>104775</xdr:rowOff>
    </xdr:from>
    <xdr:to>
      <xdr:col>7</xdr:col>
      <xdr:colOff>152400</xdr:colOff>
      <xdr:row>469</xdr:row>
      <xdr:rowOff>152400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4829175" y="94716600"/>
          <a:ext cx="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464</xdr:row>
      <xdr:rowOff>104775</xdr:rowOff>
    </xdr:from>
    <xdr:to>
      <xdr:col>8</xdr:col>
      <xdr:colOff>180975</xdr:colOff>
      <xdr:row>464</xdr:row>
      <xdr:rowOff>104775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4838700" y="94716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463</xdr:row>
      <xdr:rowOff>0</xdr:rowOff>
    </xdr:from>
    <xdr:to>
      <xdr:col>8</xdr:col>
      <xdr:colOff>180975</xdr:colOff>
      <xdr:row>470</xdr:row>
      <xdr:rowOff>142875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5505450" y="94411800"/>
          <a:ext cx="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471</xdr:row>
      <xdr:rowOff>28575</xdr:rowOff>
    </xdr:from>
    <xdr:to>
      <xdr:col>8</xdr:col>
      <xdr:colOff>190500</xdr:colOff>
      <xdr:row>476</xdr:row>
      <xdr:rowOff>104775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5514975" y="96040575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470</xdr:row>
      <xdr:rowOff>142875</xdr:rowOff>
    </xdr:from>
    <xdr:to>
      <xdr:col>8</xdr:col>
      <xdr:colOff>180975</xdr:colOff>
      <xdr:row>470</xdr:row>
      <xdr:rowOff>180975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 flipH="1">
          <a:off x="5353050" y="95954850"/>
          <a:ext cx="15240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470</xdr:row>
      <xdr:rowOff>180975</xdr:rowOff>
    </xdr:from>
    <xdr:to>
      <xdr:col>8</xdr:col>
      <xdr:colOff>276225</xdr:colOff>
      <xdr:row>470</xdr:row>
      <xdr:rowOff>180975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5353050" y="9599295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470</xdr:row>
      <xdr:rowOff>190500</xdr:rowOff>
    </xdr:from>
    <xdr:to>
      <xdr:col>8</xdr:col>
      <xdr:colOff>276225</xdr:colOff>
      <xdr:row>471</xdr:row>
      <xdr:rowOff>28575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 flipH="1">
          <a:off x="5514975" y="96002475"/>
          <a:ext cx="857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472</xdr:row>
      <xdr:rowOff>76200</xdr:rowOff>
    </xdr:from>
    <xdr:to>
      <xdr:col>2</xdr:col>
      <xdr:colOff>85725</xdr:colOff>
      <xdr:row>472</xdr:row>
      <xdr:rowOff>133350</xdr:rowOff>
    </xdr:to>
    <xdr:sp macro="" textlink="">
      <xdr:nvSpPr>
        <xdr:cNvPr id="205" name="AutoShap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123950" y="962882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180975</xdr:colOff>
      <xdr:row>473</xdr:row>
      <xdr:rowOff>28575</xdr:rowOff>
    </xdr:from>
    <xdr:to>
      <xdr:col>2</xdr:col>
      <xdr:colOff>238125</xdr:colOff>
      <xdr:row>473</xdr:row>
      <xdr:rowOff>85725</xdr:rowOff>
    </xdr:to>
    <xdr:sp macro="" textlink="">
      <xdr:nvSpPr>
        <xdr:cNvPr id="206" name="AutoShap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964406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447675</xdr:colOff>
      <xdr:row>472</xdr:row>
      <xdr:rowOff>38100</xdr:rowOff>
    </xdr:from>
    <xdr:to>
      <xdr:col>2</xdr:col>
      <xdr:colOff>504825</xdr:colOff>
      <xdr:row>472</xdr:row>
      <xdr:rowOff>95250</xdr:rowOff>
    </xdr:to>
    <xdr:sp macro="" textlink="">
      <xdr:nvSpPr>
        <xdr:cNvPr id="207" name="AutoShap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543050" y="962501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495300</xdr:colOff>
      <xdr:row>472</xdr:row>
      <xdr:rowOff>180975</xdr:rowOff>
    </xdr:from>
    <xdr:to>
      <xdr:col>2</xdr:col>
      <xdr:colOff>552450</xdr:colOff>
      <xdr:row>473</xdr:row>
      <xdr:rowOff>38100</xdr:rowOff>
    </xdr:to>
    <xdr:sp macro="" textlink="">
      <xdr:nvSpPr>
        <xdr:cNvPr id="208" name="AutoShap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590675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695325</xdr:colOff>
      <xdr:row>472</xdr:row>
      <xdr:rowOff>47625</xdr:rowOff>
    </xdr:from>
    <xdr:to>
      <xdr:col>2</xdr:col>
      <xdr:colOff>752475</xdr:colOff>
      <xdr:row>472</xdr:row>
      <xdr:rowOff>104775</xdr:rowOff>
    </xdr:to>
    <xdr:sp macro="" textlink="">
      <xdr:nvSpPr>
        <xdr:cNvPr id="209" name="AutoShap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542925</xdr:colOff>
      <xdr:row>472</xdr:row>
      <xdr:rowOff>28575</xdr:rowOff>
    </xdr:from>
    <xdr:to>
      <xdr:col>1</xdr:col>
      <xdr:colOff>600075</xdr:colOff>
      <xdr:row>472</xdr:row>
      <xdr:rowOff>85725</xdr:rowOff>
    </xdr:to>
    <xdr:sp macro="" textlink="">
      <xdr:nvSpPr>
        <xdr:cNvPr id="210" name="AutoShap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9535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600075</xdr:colOff>
      <xdr:row>472</xdr:row>
      <xdr:rowOff>180975</xdr:rowOff>
    </xdr:from>
    <xdr:to>
      <xdr:col>1</xdr:col>
      <xdr:colOff>657225</xdr:colOff>
      <xdr:row>473</xdr:row>
      <xdr:rowOff>38100</xdr:rowOff>
    </xdr:to>
    <xdr:sp macro="" textlink="">
      <xdr:nvSpPr>
        <xdr:cNvPr id="211" name="AutoShap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52500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800100</xdr:colOff>
      <xdr:row>472</xdr:row>
      <xdr:rowOff>190500</xdr:rowOff>
    </xdr:from>
    <xdr:to>
      <xdr:col>3</xdr:col>
      <xdr:colOff>28575</xdr:colOff>
      <xdr:row>473</xdr:row>
      <xdr:rowOff>47625</xdr:rowOff>
    </xdr:to>
    <xdr:sp macro="" textlink="">
      <xdr:nvSpPr>
        <xdr:cNvPr id="212" name="AutoShap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472</xdr:row>
      <xdr:rowOff>28575</xdr:rowOff>
    </xdr:from>
    <xdr:to>
      <xdr:col>3</xdr:col>
      <xdr:colOff>133350</xdr:colOff>
      <xdr:row>472</xdr:row>
      <xdr:rowOff>85725</xdr:rowOff>
    </xdr:to>
    <xdr:sp macro="" textlink="">
      <xdr:nvSpPr>
        <xdr:cNvPr id="213" name="AutoShap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472</xdr:row>
      <xdr:rowOff>47625</xdr:rowOff>
    </xdr:from>
    <xdr:to>
      <xdr:col>3</xdr:col>
      <xdr:colOff>314325</xdr:colOff>
      <xdr:row>472</xdr:row>
      <xdr:rowOff>104775</xdr:rowOff>
    </xdr:to>
    <xdr:sp macro="" textlink="">
      <xdr:nvSpPr>
        <xdr:cNvPr id="214" name="AutoShap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218122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472</xdr:row>
      <xdr:rowOff>180975</xdr:rowOff>
    </xdr:from>
    <xdr:to>
      <xdr:col>3</xdr:col>
      <xdr:colOff>200025</xdr:colOff>
      <xdr:row>473</xdr:row>
      <xdr:rowOff>38100</xdr:rowOff>
    </xdr:to>
    <xdr:sp macro="" textlink="">
      <xdr:nvSpPr>
        <xdr:cNvPr id="215" name="AutoShap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333375</xdr:colOff>
      <xdr:row>472</xdr:row>
      <xdr:rowOff>190500</xdr:rowOff>
    </xdr:from>
    <xdr:to>
      <xdr:col>3</xdr:col>
      <xdr:colOff>390525</xdr:colOff>
      <xdr:row>473</xdr:row>
      <xdr:rowOff>47625</xdr:rowOff>
    </xdr:to>
    <xdr:sp macro="" textlink="">
      <xdr:nvSpPr>
        <xdr:cNvPr id="216" name="AutoShap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257175</xdr:colOff>
      <xdr:row>472</xdr:row>
      <xdr:rowOff>28575</xdr:rowOff>
    </xdr:from>
    <xdr:to>
      <xdr:col>2</xdr:col>
      <xdr:colOff>314325</xdr:colOff>
      <xdr:row>472</xdr:row>
      <xdr:rowOff>85725</xdr:rowOff>
    </xdr:to>
    <xdr:sp macro="" textlink="">
      <xdr:nvSpPr>
        <xdr:cNvPr id="217" name="AutoShap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409575</xdr:colOff>
      <xdr:row>473</xdr:row>
      <xdr:rowOff>0</xdr:rowOff>
    </xdr:from>
    <xdr:to>
      <xdr:col>3</xdr:col>
      <xdr:colOff>466725</xdr:colOff>
      <xdr:row>473</xdr:row>
      <xdr:rowOff>57150</xdr:rowOff>
    </xdr:to>
    <xdr:sp macro="" textlink="">
      <xdr:nvSpPr>
        <xdr:cNvPr id="218" name="AutoShap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472</xdr:row>
      <xdr:rowOff>66675</xdr:rowOff>
    </xdr:from>
    <xdr:to>
      <xdr:col>3</xdr:col>
      <xdr:colOff>438150</xdr:colOff>
      <xdr:row>472</xdr:row>
      <xdr:rowOff>123825</xdr:rowOff>
    </xdr:to>
    <xdr:sp macro="" textlink="">
      <xdr:nvSpPr>
        <xdr:cNvPr id="219" name="AutoShap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962787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561975</xdr:colOff>
      <xdr:row>473</xdr:row>
      <xdr:rowOff>9525</xdr:rowOff>
    </xdr:from>
    <xdr:to>
      <xdr:col>4</xdr:col>
      <xdr:colOff>0</xdr:colOff>
      <xdr:row>473</xdr:row>
      <xdr:rowOff>66675</xdr:rowOff>
    </xdr:to>
    <xdr:sp macro="" textlink="">
      <xdr:nvSpPr>
        <xdr:cNvPr id="220" name="AutoShap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96421575"/>
          <a:ext cx="9525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581025</xdr:colOff>
      <xdr:row>472</xdr:row>
      <xdr:rowOff>104775</xdr:rowOff>
    </xdr:from>
    <xdr:to>
      <xdr:col>2</xdr:col>
      <xdr:colOff>638175</xdr:colOff>
      <xdr:row>472</xdr:row>
      <xdr:rowOff>161925</xdr:rowOff>
    </xdr:to>
    <xdr:sp macro="" textlink="">
      <xdr:nvSpPr>
        <xdr:cNvPr id="221" name="AutoShap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963168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457200</xdr:colOff>
      <xdr:row>471</xdr:row>
      <xdr:rowOff>180975</xdr:rowOff>
    </xdr:from>
    <xdr:to>
      <xdr:col>3</xdr:col>
      <xdr:colOff>514350</xdr:colOff>
      <xdr:row>472</xdr:row>
      <xdr:rowOff>38100</xdr:rowOff>
    </xdr:to>
    <xdr:sp macro="" textlink="">
      <xdr:nvSpPr>
        <xdr:cNvPr id="222" name="AutoShap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2381250" y="961929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533400</xdr:colOff>
      <xdr:row>472</xdr:row>
      <xdr:rowOff>123825</xdr:rowOff>
    </xdr:from>
    <xdr:to>
      <xdr:col>3</xdr:col>
      <xdr:colOff>571500</xdr:colOff>
      <xdr:row>472</xdr:row>
      <xdr:rowOff>180975</xdr:rowOff>
    </xdr:to>
    <xdr:sp macro="" textlink="">
      <xdr:nvSpPr>
        <xdr:cNvPr id="223" name="AutoShap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2457450" y="96335850"/>
          <a:ext cx="3810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472</xdr:row>
      <xdr:rowOff>0</xdr:rowOff>
    </xdr:from>
    <xdr:to>
      <xdr:col>4</xdr:col>
      <xdr:colOff>19050</xdr:colOff>
      <xdr:row>472</xdr:row>
      <xdr:rowOff>57150</xdr:rowOff>
    </xdr:to>
    <xdr:sp macro="" textlink="">
      <xdr:nvSpPr>
        <xdr:cNvPr id="224" name="AutoShap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96212025"/>
          <a:ext cx="190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472</xdr:row>
      <xdr:rowOff>142875</xdr:rowOff>
    </xdr:from>
    <xdr:to>
      <xdr:col>3</xdr:col>
      <xdr:colOff>295275</xdr:colOff>
      <xdr:row>473</xdr:row>
      <xdr:rowOff>0</xdr:rowOff>
    </xdr:to>
    <xdr:sp macro="" textlink="">
      <xdr:nvSpPr>
        <xdr:cNvPr id="225" name="AutoShap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2162175" y="963549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333375</xdr:colOff>
      <xdr:row>471</xdr:row>
      <xdr:rowOff>190500</xdr:rowOff>
    </xdr:from>
    <xdr:to>
      <xdr:col>4</xdr:col>
      <xdr:colOff>390525</xdr:colOff>
      <xdr:row>472</xdr:row>
      <xdr:rowOff>47625</xdr:rowOff>
    </xdr:to>
    <xdr:sp macro="" textlink="">
      <xdr:nvSpPr>
        <xdr:cNvPr id="226" name="AutoShap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2828925" y="962025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514350</xdr:colOff>
      <xdr:row>472</xdr:row>
      <xdr:rowOff>9525</xdr:rowOff>
    </xdr:from>
    <xdr:to>
      <xdr:col>4</xdr:col>
      <xdr:colOff>571500</xdr:colOff>
      <xdr:row>472</xdr:row>
      <xdr:rowOff>66675</xdr:rowOff>
    </xdr:to>
    <xdr:sp macro="" textlink="">
      <xdr:nvSpPr>
        <xdr:cNvPr id="227" name="AutoShap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962215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400050</xdr:colOff>
      <xdr:row>472</xdr:row>
      <xdr:rowOff>142875</xdr:rowOff>
    </xdr:from>
    <xdr:to>
      <xdr:col>4</xdr:col>
      <xdr:colOff>457200</xdr:colOff>
      <xdr:row>473</xdr:row>
      <xdr:rowOff>0</xdr:rowOff>
    </xdr:to>
    <xdr:sp macro="" textlink="">
      <xdr:nvSpPr>
        <xdr:cNvPr id="228" name="AutoShap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963549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590550</xdr:colOff>
      <xdr:row>472</xdr:row>
      <xdr:rowOff>152400</xdr:rowOff>
    </xdr:from>
    <xdr:to>
      <xdr:col>4</xdr:col>
      <xdr:colOff>647700</xdr:colOff>
      <xdr:row>473</xdr:row>
      <xdr:rowOff>9525</xdr:rowOff>
    </xdr:to>
    <xdr:sp macro="" textlink="">
      <xdr:nvSpPr>
        <xdr:cNvPr id="229" name="AutoShap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963644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666750</xdr:colOff>
      <xdr:row>472</xdr:row>
      <xdr:rowOff>161925</xdr:rowOff>
    </xdr:from>
    <xdr:to>
      <xdr:col>5</xdr:col>
      <xdr:colOff>19050</xdr:colOff>
      <xdr:row>473</xdr:row>
      <xdr:rowOff>19050</xdr:rowOff>
    </xdr:to>
    <xdr:sp macro="" textlink="">
      <xdr:nvSpPr>
        <xdr:cNvPr id="230" name="AutoShap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3162300" y="963739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114300</xdr:colOff>
      <xdr:row>472</xdr:row>
      <xdr:rowOff>171450</xdr:rowOff>
    </xdr:from>
    <xdr:to>
      <xdr:col>5</xdr:col>
      <xdr:colOff>171450</xdr:colOff>
      <xdr:row>473</xdr:row>
      <xdr:rowOff>28575</xdr:rowOff>
    </xdr:to>
    <xdr:sp macro="" textlink="">
      <xdr:nvSpPr>
        <xdr:cNvPr id="231" name="AutoShap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3314700" y="963834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472</xdr:row>
      <xdr:rowOff>104775</xdr:rowOff>
    </xdr:from>
    <xdr:to>
      <xdr:col>4</xdr:col>
      <xdr:colOff>180975</xdr:colOff>
      <xdr:row>472</xdr:row>
      <xdr:rowOff>161925</xdr:rowOff>
    </xdr:to>
    <xdr:sp macro="" textlink="">
      <xdr:nvSpPr>
        <xdr:cNvPr id="232" name="AutoShap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963168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471</xdr:row>
      <xdr:rowOff>190500</xdr:rowOff>
    </xdr:from>
    <xdr:to>
      <xdr:col>5</xdr:col>
      <xdr:colOff>209550</xdr:colOff>
      <xdr:row>472</xdr:row>
      <xdr:rowOff>47625</xdr:rowOff>
    </xdr:to>
    <xdr:sp macro="" textlink="">
      <xdr:nvSpPr>
        <xdr:cNvPr id="233" name="AutoShap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3352800" y="962025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472</xdr:row>
      <xdr:rowOff>85725</xdr:rowOff>
    </xdr:from>
    <xdr:to>
      <xdr:col>5</xdr:col>
      <xdr:colOff>142875</xdr:colOff>
      <xdr:row>472</xdr:row>
      <xdr:rowOff>142875</xdr:rowOff>
    </xdr:to>
    <xdr:sp macro="" textlink="">
      <xdr:nvSpPr>
        <xdr:cNvPr id="234" name="AutoShap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3286125" y="962977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676275</xdr:colOff>
      <xdr:row>472</xdr:row>
      <xdr:rowOff>19050</xdr:rowOff>
    </xdr:from>
    <xdr:to>
      <xdr:col>5</xdr:col>
      <xdr:colOff>28575</xdr:colOff>
      <xdr:row>472</xdr:row>
      <xdr:rowOff>76200</xdr:rowOff>
    </xdr:to>
    <xdr:sp macro="" textlink="">
      <xdr:nvSpPr>
        <xdr:cNvPr id="235" name="AutoShap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962310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381000</xdr:colOff>
      <xdr:row>472</xdr:row>
      <xdr:rowOff>66675</xdr:rowOff>
    </xdr:from>
    <xdr:to>
      <xdr:col>5</xdr:col>
      <xdr:colOff>438150</xdr:colOff>
      <xdr:row>472</xdr:row>
      <xdr:rowOff>123825</xdr:rowOff>
    </xdr:to>
    <xdr:sp macro="" textlink="">
      <xdr:nvSpPr>
        <xdr:cNvPr id="236" name="AutoShap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3581400" y="962787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428625</xdr:colOff>
      <xdr:row>472</xdr:row>
      <xdr:rowOff>9525</xdr:rowOff>
    </xdr:from>
    <xdr:to>
      <xdr:col>5</xdr:col>
      <xdr:colOff>485775</xdr:colOff>
      <xdr:row>472</xdr:row>
      <xdr:rowOff>66675</xdr:rowOff>
    </xdr:to>
    <xdr:sp macro="" textlink="">
      <xdr:nvSpPr>
        <xdr:cNvPr id="237" name="AutoShap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3629025" y="962215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609600</xdr:colOff>
      <xdr:row>472</xdr:row>
      <xdr:rowOff>28575</xdr:rowOff>
    </xdr:from>
    <xdr:to>
      <xdr:col>5</xdr:col>
      <xdr:colOff>666750</xdr:colOff>
      <xdr:row>472</xdr:row>
      <xdr:rowOff>85725</xdr:rowOff>
    </xdr:to>
    <xdr:sp macro="" textlink="">
      <xdr:nvSpPr>
        <xdr:cNvPr id="238" name="AutoShap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472</xdr:row>
      <xdr:rowOff>161925</xdr:rowOff>
    </xdr:from>
    <xdr:to>
      <xdr:col>5</xdr:col>
      <xdr:colOff>552450</xdr:colOff>
      <xdr:row>473</xdr:row>
      <xdr:rowOff>19050</xdr:rowOff>
    </xdr:to>
    <xdr:sp macro="" textlink="">
      <xdr:nvSpPr>
        <xdr:cNvPr id="239" name="AutoShap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3695700" y="963739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685800</xdr:colOff>
      <xdr:row>472</xdr:row>
      <xdr:rowOff>171450</xdr:rowOff>
    </xdr:from>
    <xdr:to>
      <xdr:col>6</xdr:col>
      <xdr:colOff>38100</xdr:colOff>
      <xdr:row>473</xdr:row>
      <xdr:rowOff>28575</xdr:rowOff>
    </xdr:to>
    <xdr:sp macro="" textlink="">
      <xdr:nvSpPr>
        <xdr:cNvPr id="240" name="AutoShap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3886200" y="963834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472</xdr:row>
      <xdr:rowOff>180975</xdr:rowOff>
    </xdr:from>
    <xdr:to>
      <xdr:col>6</xdr:col>
      <xdr:colOff>114300</xdr:colOff>
      <xdr:row>473</xdr:row>
      <xdr:rowOff>38100</xdr:rowOff>
    </xdr:to>
    <xdr:sp macro="" textlink="">
      <xdr:nvSpPr>
        <xdr:cNvPr id="241" name="AutoShap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472</xdr:row>
      <xdr:rowOff>190500</xdr:rowOff>
    </xdr:from>
    <xdr:to>
      <xdr:col>6</xdr:col>
      <xdr:colOff>266700</xdr:colOff>
      <xdr:row>473</xdr:row>
      <xdr:rowOff>47625</xdr:rowOff>
    </xdr:to>
    <xdr:sp macro="" textlink="">
      <xdr:nvSpPr>
        <xdr:cNvPr id="242" name="AutoShap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219075</xdr:colOff>
      <xdr:row>472</xdr:row>
      <xdr:rowOff>123825</xdr:rowOff>
    </xdr:from>
    <xdr:to>
      <xdr:col>5</xdr:col>
      <xdr:colOff>276225</xdr:colOff>
      <xdr:row>472</xdr:row>
      <xdr:rowOff>180975</xdr:rowOff>
    </xdr:to>
    <xdr:sp macro="" textlink="">
      <xdr:nvSpPr>
        <xdr:cNvPr id="243" name="AutoShap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3419475" y="963358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471</xdr:row>
      <xdr:rowOff>161925</xdr:rowOff>
    </xdr:from>
    <xdr:to>
      <xdr:col>6</xdr:col>
      <xdr:colOff>161925</xdr:colOff>
      <xdr:row>472</xdr:row>
      <xdr:rowOff>19050</xdr:rowOff>
    </xdr:to>
    <xdr:sp macro="" textlink="">
      <xdr:nvSpPr>
        <xdr:cNvPr id="244" name="AutoShap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1739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472</xdr:row>
      <xdr:rowOff>104775</xdr:rowOff>
    </xdr:from>
    <xdr:to>
      <xdr:col>6</xdr:col>
      <xdr:colOff>238125</xdr:colOff>
      <xdr:row>472</xdr:row>
      <xdr:rowOff>161925</xdr:rowOff>
    </xdr:to>
    <xdr:sp macro="" textlink="">
      <xdr:nvSpPr>
        <xdr:cNvPr id="245" name="AutoShap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4086225" y="963168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472</xdr:row>
      <xdr:rowOff>57150</xdr:rowOff>
    </xdr:from>
    <xdr:to>
      <xdr:col>3</xdr:col>
      <xdr:colOff>104775</xdr:colOff>
      <xdr:row>472</xdr:row>
      <xdr:rowOff>114300</xdr:rowOff>
    </xdr:to>
    <xdr:sp macro="" textlink="">
      <xdr:nvSpPr>
        <xdr:cNvPr id="246" name="AutoShap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971675" y="962691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473</xdr:row>
      <xdr:rowOff>0</xdr:rowOff>
    </xdr:from>
    <xdr:to>
      <xdr:col>3</xdr:col>
      <xdr:colOff>152400</xdr:colOff>
      <xdr:row>473</xdr:row>
      <xdr:rowOff>57150</xdr:rowOff>
    </xdr:to>
    <xdr:sp macro="" textlink="">
      <xdr:nvSpPr>
        <xdr:cNvPr id="247" name="AutoShap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2019300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504825</xdr:colOff>
      <xdr:row>472</xdr:row>
      <xdr:rowOff>47625</xdr:rowOff>
    </xdr:from>
    <xdr:to>
      <xdr:col>3</xdr:col>
      <xdr:colOff>561975</xdr:colOff>
      <xdr:row>472</xdr:row>
      <xdr:rowOff>104775</xdr:rowOff>
    </xdr:to>
    <xdr:sp macro="" textlink="">
      <xdr:nvSpPr>
        <xdr:cNvPr id="248" name="AutoShap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242887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472</xdr:row>
      <xdr:rowOff>66675</xdr:rowOff>
    </xdr:from>
    <xdr:to>
      <xdr:col>4</xdr:col>
      <xdr:colOff>123825</xdr:colOff>
      <xdr:row>472</xdr:row>
      <xdr:rowOff>123825</xdr:rowOff>
    </xdr:to>
    <xdr:sp macro="" textlink="">
      <xdr:nvSpPr>
        <xdr:cNvPr id="249" name="AutoShap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962787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472</xdr:row>
      <xdr:rowOff>104775</xdr:rowOff>
    </xdr:from>
    <xdr:to>
      <xdr:col>4</xdr:col>
      <xdr:colOff>295275</xdr:colOff>
      <xdr:row>472</xdr:row>
      <xdr:rowOff>161925</xdr:rowOff>
    </xdr:to>
    <xdr:sp macro="" textlink="">
      <xdr:nvSpPr>
        <xdr:cNvPr id="250" name="AutoShap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2733675" y="963168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142875</xdr:colOff>
      <xdr:row>473</xdr:row>
      <xdr:rowOff>9525</xdr:rowOff>
    </xdr:from>
    <xdr:to>
      <xdr:col>4</xdr:col>
      <xdr:colOff>200025</xdr:colOff>
      <xdr:row>473</xdr:row>
      <xdr:rowOff>66675</xdr:rowOff>
    </xdr:to>
    <xdr:sp macro="" textlink="">
      <xdr:nvSpPr>
        <xdr:cNvPr id="251" name="AutoShap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2638425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473</xdr:row>
      <xdr:rowOff>19050</xdr:rowOff>
    </xdr:from>
    <xdr:to>
      <xdr:col>4</xdr:col>
      <xdr:colOff>276225</xdr:colOff>
      <xdr:row>473</xdr:row>
      <xdr:rowOff>76200</xdr:rowOff>
    </xdr:to>
    <xdr:sp macro="" textlink="">
      <xdr:nvSpPr>
        <xdr:cNvPr id="252" name="AutoShap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2714625" y="964311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473</xdr:row>
      <xdr:rowOff>28575</xdr:rowOff>
    </xdr:from>
    <xdr:to>
      <xdr:col>4</xdr:col>
      <xdr:colOff>428625</xdr:colOff>
      <xdr:row>473</xdr:row>
      <xdr:rowOff>85725</xdr:rowOff>
    </xdr:to>
    <xdr:sp macro="" textlink="">
      <xdr:nvSpPr>
        <xdr:cNvPr id="253" name="AutoShap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964406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472</xdr:row>
      <xdr:rowOff>0</xdr:rowOff>
    </xdr:from>
    <xdr:to>
      <xdr:col>3</xdr:col>
      <xdr:colOff>19050</xdr:colOff>
      <xdr:row>472</xdr:row>
      <xdr:rowOff>57150</xdr:rowOff>
    </xdr:to>
    <xdr:sp macro="" textlink="">
      <xdr:nvSpPr>
        <xdr:cNvPr id="254" name="AutoShap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962120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266700</xdr:colOff>
      <xdr:row>472</xdr:row>
      <xdr:rowOff>0</xdr:rowOff>
    </xdr:from>
    <xdr:to>
      <xdr:col>4</xdr:col>
      <xdr:colOff>323850</xdr:colOff>
      <xdr:row>472</xdr:row>
      <xdr:rowOff>57150</xdr:rowOff>
    </xdr:to>
    <xdr:sp macro="" textlink="">
      <xdr:nvSpPr>
        <xdr:cNvPr id="255" name="AutoShap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2762250" y="962120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342900</xdr:colOff>
      <xdr:row>472</xdr:row>
      <xdr:rowOff>142875</xdr:rowOff>
    </xdr:from>
    <xdr:to>
      <xdr:col>4</xdr:col>
      <xdr:colOff>400050</xdr:colOff>
      <xdr:row>473</xdr:row>
      <xdr:rowOff>0</xdr:rowOff>
    </xdr:to>
    <xdr:sp macro="" textlink="">
      <xdr:nvSpPr>
        <xdr:cNvPr id="256" name="AutoShap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2838450" y="963549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571500</xdr:colOff>
      <xdr:row>472</xdr:row>
      <xdr:rowOff>47625</xdr:rowOff>
    </xdr:from>
    <xdr:to>
      <xdr:col>1</xdr:col>
      <xdr:colOff>628650</xdr:colOff>
      <xdr:row>472</xdr:row>
      <xdr:rowOff>104775</xdr:rowOff>
    </xdr:to>
    <xdr:sp macro="" textlink="">
      <xdr:nvSpPr>
        <xdr:cNvPr id="257" name="AutoShap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2392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619125</xdr:colOff>
      <xdr:row>472</xdr:row>
      <xdr:rowOff>190500</xdr:rowOff>
    </xdr:from>
    <xdr:to>
      <xdr:col>1</xdr:col>
      <xdr:colOff>676275</xdr:colOff>
      <xdr:row>473</xdr:row>
      <xdr:rowOff>47625</xdr:rowOff>
    </xdr:to>
    <xdr:sp macro="" textlink="">
      <xdr:nvSpPr>
        <xdr:cNvPr id="258" name="AutoShap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71550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285750</xdr:colOff>
      <xdr:row>472</xdr:row>
      <xdr:rowOff>38100</xdr:rowOff>
    </xdr:from>
    <xdr:to>
      <xdr:col>2</xdr:col>
      <xdr:colOff>342900</xdr:colOff>
      <xdr:row>472</xdr:row>
      <xdr:rowOff>95250</xdr:rowOff>
    </xdr:to>
    <xdr:sp macro="" textlink="">
      <xdr:nvSpPr>
        <xdr:cNvPr id="259" name="AutoShap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381125" y="962501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466725</xdr:colOff>
      <xdr:row>472</xdr:row>
      <xdr:rowOff>57150</xdr:rowOff>
    </xdr:from>
    <xdr:to>
      <xdr:col>2</xdr:col>
      <xdr:colOff>523875</xdr:colOff>
      <xdr:row>472</xdr:row>
      <xdr:rowOff>114300</xdr:rowOff>
    </xdr:to>
    <xdr:sp macro="" textlink="">
      <xdr:nvSpPr>
        <xdr:cNvPr id="260" name="AutoShap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562100" y="962691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352425</xdr:colOff>
      <xdr:row>472</xdr:row>
      <xdr:rowOff>190500</xdr:rowOff>
    </xdr:from>
    <xdr:to>
      <xdr:col>2</xdr:col>
      <xdr:colOff>409575</xdr:colOff>
      <xdr:row>473</xdr:row>
      <xdr:rowOff>47625</xdr:rowOff>
    </xdr:to>
    <xdr:sp macro="" textlink="">
      <xdr:nvSpPr>
        <xdr:cNvPr id="261" name="AutoShap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542925</xdr:colOff>
      <xdr:row>473</xdr:row>
      <xdr:rowOff>0</xdr:rowOff>
    </xdr:from>
    <xdr:to>
      <xdr:col>2</xdr:col>
      <xdr:colOff>600075</xdr:colOff>
      <xdr:row>473</xdr:row>
      <xdr:rowOff>57150</xdr:rowOff>
    </xdr:to>
    <xdr:sp macro="" textlink="">
      <xdr:nvSpPr>
        <xdr:cNvPr id="262" name="AutoShap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619125</xdr:colOff>
      <xdr:row>473</xdr:row>
      <xdr:rowOff>9525</xdr:rowOff>
    </xdr:from>
    <xdr:to>
      <xdr:col>2</xdr:col>
      <xdr:colOff>676275</xdr:colOff>
      <xdr:row>473</xdr:row>
      <xdr:rowOff>66675</xdr:rowOff>
    </xdr:to>
    <xdr:sp macro="" textlink="">
      <xdr:nvSpPr>
        <xdr:cNvPr id="263" name="AutoShap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714500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472</xdr:row>
      <xdr:rowOff>85725</xdr:rowOff>
    </xdr:from>
    <xdr:to>
      <xdr:col>3</xdr:col>
      <xdr:colOff>209550</xdr:colOff>
      <xdr:row>472</xdr:row>
      <xdr:rowOff>142875</xdr:rowOff>
    </xdr:to>
    <xdr:sp macro="" textlink="">
      <xdr:nvSpPr>
        <xdr:cNvPr id="264" name="AutoShap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2076450" y="962977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472</xdr:row>
      <xdr:rowOff>152400</xdr:rowOff>
    </xdr:from>
    <xdr:to>
      <xdr:col>2</xdr:col>
      <xdr:colOff>133350</xdr:colOff>
      <xdr:row>473</xdr:row>
      <xdr:rowOff>9525</xdr:rowOff>
    </xdr:to>
    <xdr:sp macro="" textlink="">
      <xdr:nvSpPr>
        <xdr:cNvPr id="265" name="AutoShap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171575" y="963644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666750</xdr:colOff>
      <xdr:row>471</xdr:row>
      <xdr:rowOff>190500</xdr:rowOff>
    </xdr:from>
    <xdr:to>
      <xdr:col>2</xdr:col>
      <xdr:colOff>723900</xdr:colOff>
      <xdr:row>472</xdr:row>
      <xdr:rowOff>47625</xdr:rowOff>
    </xdr:to>
    <xdr:sp macro="" textlink="">
      <xdr:nvSpPr>
        <xdr:cNvPr id="266" name="AutoShap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762125" y="962025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742950</xdr:colOff>
      <xdr:row>472</xdr:row>
      <xdr:rowOff>133350</xdr:rowOff>
    </xdr:from>
    <xdr:to>
      <xdr:col>2</xdr:col>
      <xdr:colOff>800100</xdr:colOff>
      <xdr:row>472</xdr:row>
      <xdr:rowOff>190500</xdr:rowOff>
    </xdr:to>
    <xdr:sp macro="" textlink="">
      <xdr:nvSpPr>
        <xdr:cNvPr id="267" name="AutoShap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838325" y="963453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472</xdr:row>
      <xdr:rowOff>38100</xdr:rowOff>
    </xdr:from>
    <xdr:to>
      <xdr:col>5</xdr:col>
      <xdr:colOff>95250</xdr:colOff>
      <xdr:row>472</xdr:row>
      <xdr:rowOff>95250</xdr:rowOff>
    </xdr:to>
    <xdr:sp macro="" textlink="">
      <xdr:nvSpPr>
        <xdr:cNvPr id="268" name="AutoShap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3238500" y="962501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472</xdr:row>
      <xdr:rowOff>180975</xdr:rowOff>
    </xdr:from>
    <xdr:to>
      <xdr:col>5</xdr:col>
      <xdr:colOff>142875</xdr:colOff>
      <xdr:row>473</xdr:row>
      <xdr:rowOff>38100</xdr:rowOff>
    </xdr:to>
    <xdr:sp macro="" textlink="">
      <xdr:nvSpPr>
        <xdr:cNvPr id="269" name="AutoShap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3286125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472</xdr:row>
      <xdr:rowOff>28575</xdr:rowOff>
    </xdr:from>
    <xdr:to>
      <xdr:col>5</xdr:col>
      <xdr:colOff>552450</xdr:colOff>
      <xdr:row>472</xdr:row>
      <xdr:rowOff>85725</xdr:rowOff>
    </xdr:to>
    <xdr:sp macro="" textlink="">
      <xdr:nvSpPr>
        <xdr:cNvPr id="270" name="AutoShap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369570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676275</xdr:colOff>
      <xdr:row>472</xdr:row>
      <xdr:rowOff>47625</xdr:rowOff>
    </xdr:from>
    <xdr:to>
      <xdr:col>6</xdr:col>
      <xdr:colOff>28575</xdr:colOff>
      <xdr:row>472</xdr:row>
      <xdr:rowOff>104775</xdr:rowOff>
    </xdr:to>
    <xdr:sp macro="" textlink="">
      <xdr:nvSpPr>
        <xdr:cNvPr id="271" name="AutoShap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387667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561975</xdr:colOff>
      <xdr:row>472</xdr:row>
      <xdr:rowOff>180975</xdr:rowOff>
    </xdr:from>
    <xdr:to>
      <xdr:col>5</xdr:col>
      <xdr:colOff>619125</xdr:colOff>
      <xdr:row>473</xdr:row>
      <xdr:rowOff>38100</xdr:rowOff>
    </xdr:to>
    <xdr:sp macro="" textlink="">
      <xdr:nvSpPr>
        <xdr:cNvPr id="272" name="AutoShap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600075</xdr:colOff>
      <xdr:row>472</xdr:row>
      <xdr:rowOff>190500</xdr:rowOff>
    </xdr:from>
    <xdr:to>
      <xdr:col>8</xdr:col>
      <xdr:colOff>9525</xdr:colOff>
      <xdr:row>473</xdr:row>
      <xdr:rowOff>47625</xdr:rowOff>
    </xdr:to>
    <xdr:sp macro="" textlink="">
      <xdr:nvSpPr>
        <xdr:cNvPr id="273" name="AutoShap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473</xdr:row>
      <xdr:rowOff>0</xdr:rowOff>
    </xdr:from>
    <xdr:to>
      <xdr:col>6</xdr:col>
      <xdr:colOff>180975</xdr:colOff>
      <xdr:row>473</xdr:row>
      <xdr:rowOff>57150</xdr:rowOff>
    </xdr:to>
    <xdr:sp macro="" textlink="">
      <xdr:nvSpPr>
        <xdr:cNvPr id="274" name="AutoShap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4029075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276225</xdr:colOff>
      <xdr:row>473</xdr:row>
      <xdr:rowOff>9525</xdr:rowOff>
    </xdr:from>
    <xdr:to>
      <xdr:col>6</xdr:col>
      <xdr:colOff>333375</xdr:colOff>
      <xdr:row>473</xdr:row>
      <xdr:rowOff>66675</xdr:rowOff>
    </xdr:to>
    <xdr:sp macro="" textlink="">
      <xdr:nvSpPr>
        <xdr:cNvPr id="275" name="AutoShap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4181475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472</xdr:row>
      <xdr:rowOff>142875</xdr:rowOff>
    </xdr:from>
    <xdr:to>
      <xdr:col>5</xdr:col>
      <xdr:colOff>342900</xdr:colOff>
      <xdr:row>473</xdr:row>
      <xdr:rowOff>0</xdr:rowOff>
    </xdr:to>
    <xdr:sp macro="" textlink="">
      <xdr:nvSpPr>
        <xdr:cNvPr id="276" name="AutoShap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3486150" y="963549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171450</xdr:colOff>
      <xdr:row>471</xdr:row>
      <xdr:rowOff>180975</xdr:rowOff>
    </xdr:from>
    <xdr:to>
      <xdr:col>6</xdr:col>
      <xdr:colOff>228600</xdr:colOff>
      <xdr:row>472</xdr:row>
      <xdr:rowOff>38100</xdr:rowOff>
    </xdr:to>
    <xdr:sp macro="" textlink="">
      <xdr:nvSpPr>
        <xdr:cNvPr id="277" name="AutoShap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961929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472</xdr:row>
      <xdr:rowOff>123825</xdr:rowOff>
    </xdr:from>
    <xdr:to>
      <xdr:col>6</xdr:col>
      <xdr:colOff>304800</xdr:colOff>
      <xdr:row>472</xdr:row>
      <xdr:rowOff>180975</xdr:rowOff>
    </xdr:to>
    <xdr:sp macro="" textlink="">
      <xdr:nvSpPr>
        <xdr:cNvPr id="278" name="AutoShap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963358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472</xdr:row>
      <xdr:rowOff>9525</xdr:rowOff>
    </xdr:from>
    <xdr:to>
      <xdr:col>6</xdr:col>
      <xdr:colOff>390525</xdr:colOff>
      <xdr:row>472</xdr:row>
      <xdr:rowOff>66675</xdr:rowOff>
    </xdr:to>
    <xdr:sp macro="" textlink="">
      <xdr:nvSpPr>
        <xdr:cNvPr id="279" name="AutoShap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4238625" y="962215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472</xdr:row>
      <xdr:rowOff>152400</xdr:rowOff>
    </xdr:from>
    <xdr:to>
      <xdr:col>6</xdr:col>
      <xdr:colOff>438150</xdr:colOff>
      <xdr:row>473</xdr:row>
      <xdr:rowOff>9525</xdr:rowOff>
    </xdr:to>
    <xdr:sp macro="" textlink="">
      <xdr:nvSpPr>
        <xdr:cNvPr id="280" name="AutoShap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963644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</xdr:colOff>
      <xdr:row>472</xdr:row>
      <xdr:rowOff>0</xdr:rowOff>
    </xdr:from>
    <xdr:to>
      <xdr:col>7</xdr:col>
      <xdr:colOff>76200</xdr:colOff>
      <xdr:row>472</xdr:row>
      <xdr:rowOff>57150</xdr:rowOff>
    </xdr:to>
    <xdr:sp macro="" textlink="">
      <xdr:nvSpPr>
        <xdr:cNvPr id="281" name="AutoShap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62120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200025</xdr:colOff>
      <xdr:row>472</xdr:row>
      <xdr:rowOff>19050</xdr:rowOff>
    </xdr:from>
    <xdr:to>
      <xdr:col>7</xdr:col>
      <xdr:colOff>257175</xdr:colOff>
      <xdr:row>472</xdr:row>
      <xdr:rowOff>76200</xdr:rowOff>
    </xdr:to>
    <xdr:sp macro="" textlink="">
      <xdr:nvSpPr>
        <xdr:cNvPr id="282" name="AutoShap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4876800" y="962310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472</xdr:row>
      <xdr:rowOff>152400</xdr:rowOff>
    </xdr:from>
    <xdr:to>
      <xdr:col>7</xdr:col>
      <xdr:colOff>142875</xdr:colOff>
      <xdr:row>473</xdr:row>
      <xdr:rowOff>9525</xdr:rowOff>
    </xdr:to>
    <xdr:sp macro="" textlink="">
      <xdr:nvSpPr>
        <xdr:cNvPr id="283" name="AutoShap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4762500" y="963644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276225</xdr:colOff>
      <xdr:row>472</xdr:row>
      <xdr:rowOff>161925</xdr:rowOff>
    </xdr:from>
    <xdr:to>
      <xdr:col>7</xdr:col>
      <xdr:colOff>333375</xdr:colOff>
      <xdr:row>473</xdr:row>
      <xdr:rowOff>19050</xdr:rowOff>
    </xdr:to>
    <xdr:sp macro="" textlink="">
      <xdr:nvSpPr>
        <xdr:cNvPr id="284" name="AutoShap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963739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472</xdr:row>
      <xdr:rowOff>171450</xdr:rowOff>
    </xdr:from>
    <xdr:to>
      <xdr:col>7</xdr:col>
      <xdr:colOff>409575</xdr:colOff>
      <xdr:row>473</xdr:row>
      <xdr:rowOff>28575</xdr:rowOff>
    </xdr:to>
    <xdr:sp macro="" textlink="">
      <xdr:nvSpPr>
        <xdr:cNvPr id="285" name="AutoShap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963834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504825</xdr:colOff>
      <xdr:row>472</xdr:row>
      <xdr:rowOff>180975</xdr:rowOff>
    </xdr:from>
    <xdr:to>
      <xdr:col>7</xdr:col>
      <xdr:colOff>561975</xdr:colOff>
      <xdr:row>473</xdr:row>
      <xdr:rowOff>38100</xdr:rowOff>
    </xdr:to>
    <xdr:sp macro="" textlink="">
      <xdr:nvSpPr>
        <xdr:cNvPr id="286" name="AutoShap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581025</xdr:colOff>
      <xdr:row>472</xdr:row>
      <xdr:rowOff>114300</xdr:rowOff>
    </xdr:from>
    <xdr:to>
      <xdr:col>6</xdr:col>
      <xdr:colOff>638175</xdr:colOff>
      <xdr:row>472</xdr:row>
      <xdr:rowOff>171450</xdr:rowOff>
    </xdr:to>
    <xdr:sp macro="" textlink="">
      <xdr:nvSpPr>
        <xdr:cNvPr id="287" name="AutoShap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4486275" y="963263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400050</xdr:colOff>
      <xdr:row>471</xdr:row>
      <xdr:rowOff>190500</xdr:rowOff>
    </xdr:from>
    <xdr:to>
      <xdr:col>7</xdr:col>
      <xdr:colOff>457200</xdr:colOff>
      <xdr:row>472</xdr:row>
      <xdr:rowOff>47625</xdr:rowOff>
    </xdr:to>
    <xdr:sp macro="" textlink="">
      <xdr:nvSpPr>
        <xdr:cNvPr id="288" name="AutoShap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62025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476250</xdr:colOff>
      <xdr:row>472</xdr:row>
      <xdr:rowOff>95250</xdr:rowOff>
    </xdr:from>
    <xdr:to>
      <xdr:col>7</xdr:col>
      <xdr:colOff>533400</xdr:colOff>
      <xdr:row>472</xdr:row>
      <xdr:rowOff>152400</xdr:rowOff>
    </xdr:to>
    <xdr:sp macro="" textlink="">
      <xdr:nvSpPr>
        <xdr:cNvPr id="289" name="AutoShap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963072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472</xdr:row>
      <xdr:rowOff>38100</xdr:rowOff>
    </xdr:from>
    <xdr:to>
      <xdr:col>5</xdr:col>
      <xdr:colOff>552450</xdr:colOff>
      <xdr:row>472</xdr:row>
      <xdr:rowOff>95250</xdr:rowOff>
    </xdr:to>
    <xdr:sp macro="" textlink="">
      <xdr:nvSpPr>
        <xdr:cNvPr id="290" name="AutoShap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3695700" y="962501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542925</xdr:colOff>
      <xdr:row>472</xdr:row>
      <xdr:rowOff>180975</xdr:rowOff>
    </xdr:from>
    <xdr:to>
      <xdr:col>5</xdr:col>
      <xdr:colOff>600075</xdr:colOff>
      <xdr:row>473</xdr:row>
      <xdr:rowOff>38100</xdr:rowOff>
    </xdr:to>
    <xdr:sp macro="" textlink="">
      <xdr:nvSpPr>
        <xdr:cNvPr id="291" name="AutoShap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3743325" y="963930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472</xdr:row>
      <xdr:rowOff>28575</xdr:rowOff>
    </xdr:from>
    <xdr:to>
      <xdr:col>6</xdr:col>
      <xdr:colOff>304800</xdr:colOff>
      <xdr:row>472</xdr:row>
      <xdr:rowOff>85725</xdr:rowOff>
    </xdr:to>
    <xdr:sp macro="" textlink="">
      <xdr:nvSpPr>
        <xdr:cNvPr id="292" name="AutoShap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962406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428625</xdr:colOff>
      <xdr:row>472</xdr:row>
      <xdr:rowOff>47625</xdr:rowOff>
    </xdr:from>
    <xdr:to>
      <xdr:col>6</xdr:col>
      <xdr:colOff>485775</xdr:colOff>
      <xdr:row>472</xdr:row>
      <xdr:rowOff>104775</xdr:rowOff>
    </xdr:to>
    <xdr:sp macro="" textlink="">
      <xdr:nvSpPr>
        <xdr:cNvPr id="293" name="AutoShap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433387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180975</xdr:colOff>
      <xdr:row>473</xdr:row>
      <xdr:rowOff>9525</xdr:rowOff>
    </xdr:from>
    <xdr:to>
      <xdr:col>7</xdr:col>
      <xdr:colOff>238125</xdr:colOff>
      <xdr:row>473</xdr:row>
      <xdr:rowOff>66675</xdr:rowOff>
    </xdr:to>
    <xdr:sp macro="" textlink="">
      <xdr:nvSpPr>
        <xdr:cNvPr id="294" name="AutoShap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504825</xdr:colOff>
      <xdr:row>472</xdr:row>
      <xdr:rowOff>190500</xdr:rowOff>
    </xdr:from>
    <xdr:to>
      <xdr:col>6</xdr:col>
      <xdr:colOff>561975</xdr:colOff>
      <xdr:row>473</xdr:row>
      <xdr:rowOff>47625</xdr:rowOff>
    </xdr:to>
    <xdr:sp macro="" textlink="">
      <xdr:nvSpPr>
        <xdr:cNvPr id="295" name="AutoShap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4410075" y="964025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581025</xdr:colOff>
      <xdr:row>473</xdr:row>
      <xdr:rowOff>0</xdr:rowOff>
    </xdr:from>
    <xdr:to>
      <xdr:col>6</xdr:col>
      <xdr:colOff>638175</xdr:colOff>
      <xdr:row>473</xdr:row>
      <xdr:rowOff>57150</xdr:rowOff>
    </xdr:to>
    <xdr:sp macro="" textlink="">
      <xdr:nvSpPr>
        <xdr:cNvPr id="296" name="AutoShap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4486275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733425</xdr:colOff>
      <xdr:row>473</xdr:row>
      <xdr:rowOff>9525</xdr:rowOff>
    </xdr:from>
    <xdr:to>
      <xdr:col>7</xdr:col>
      <xdr:colOff>19050</xdr:colOff>
      <xdr:row>473</xdr:row>
      <xdr:rowOff>66675</xdr:rowOff>
    </xdr:to>
    <xdr:sp macro="" textlink="">
      <xdr:nvSpPr>
        <xdr:cNvPr id="297" name="AutoShap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190500</xdr:colOff>
      <xdr:row>472</xdr:row>
      <xdr:rowOff>123825</xdr:rowOff>
    </xdr:from>
    <xdr:to>
      <xdr:col>7</xdr:col>
      <xdr:colOff>247650</xdr:colOff>
      <xdr:row>472</xdr:row>
      <xdr:rowOff>180975</xdr:rowOff>
    </xdr:to>
    <xdr:sp macro="" textlink="">
      <xdr:nvSpPr>
        <xdr:cNvPr id="298" name="AutoShap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4867275" y="963358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628650</xdr:colOff>
      <xdr:row>471</xdr:row>
      <xdr:rowOff>180975</xdr:rowOff>
    </xdr:from>
    <xdr:to>
      <xdr:col>6</xdr:col>
      <xdr:colOff>685800</xdr:colOff>
      <xdr:row>472</xdr:row>
      <xdr:rowOff>38100</xdr:rowOff>
    </xdr:to>
    <xdr:sp macro="" textlink="">
      <xdr:nvSpPr>
        <xdr:cNvPr id="299" name="AutoShap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961929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704850</xdr:colOff>
      <xdr:row>472</xdr:row>
      <xdr:rowOff>123825</xdr:rowOff>
    </xdr:from>
    <xdr:to>
      <xdr:col>6</xdr:col>
      <xdr:colOff>762000</xdr:colOff>
      <xdr:row>472</xdr:row>
      <xdr:rowOff>180975</xdr:rowOff>
    </xdr:to>
    <xdr:sp macro="" textlink="">
      <xdr:nvSpPr>
        <xdr:cNvPr id="300" name="AutoShap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963358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471</xdr:row>
      <xdr:rowOff>190500</xdr:rowOff>
    </xdr:from>
    <xdr:to>
      <xdr:col>4</xdr:col>
      <xdr:colOff>180975</xdr:colOff>
      <xdr:row>472</xdr:row>
      <xdr:rowOff>47625</xdr:rowOff>
    </xdr:to>
    <xdr:sp macro="" textlink="">
      <xdr:nvSpPr>
        <xdr:cNvPr id="301" name="AutoShap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962025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473</xdr:row>
      <xdr:rowOff>0</xdr:rowOff>
    </xdr:from>
    <xdr:to>
      <xdr:col>4</xdr:col>
      <xdr:colOff>95250</xdr:colOff>
      <xdr:row>473</xdr:row>
      <xdr:rowOff>57150</xdr:rowOff>
    </xdr:to>
    <xdr:sp macro="" textlink="">
      <xdr:nvSpPr>
        <xdr:cNvPr id="302" name="AutoShap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2533650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581025</xdr:colOff>
      <xdr:row>472</xdr:row>
      <xdr:rowOff>47625</xdr:rowOff>
    </xdr:from>
    <xdr:to>
      <xdr:col>4</xdr:col>
      <xdr:colOff>638175</xdr:colOff>
      <xdr:row>472</xdr:row>
      <xdr:rowOff>104775</xdr:rowOff>
    </xdr:to>
    <xdr:sp macro="" textlink="">
      <xdr:nvSpPr>
        <xdr:cNvPr id="303" name="AutoShap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3076575" y="962596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472</xdr:row>
      <xdr:rowOff>66675</xdr:rowOff>
    </xdr:from>
    <xdr:to>
      <xdr:col>6</xdr:col>
      <xdr:colOff>133350</xdr:colOff>
      <xdr:row>472</xdr:row>
      <xdr:rowOff>123825</xdr:rowOff>
    </xdr:to>
    <xdr:sp macro="" textlink="">
      <xdr:nvSpPr>
        <xdr:cNvPr id="304" name="AutoShap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3981450" y="962787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647700</xdr:colOff>
      <xdr:row>473</xdr:row>
      <xdr:rowOff>0</xdr:rowOff>
    </xdr:from>
    <xdr:to>
      <xdr:col>5</xdr:col>
      <xdr:colOff>0</xdr:colOff>
      <xdr:row>473</xdr:row>
      <xdr:rowOff>57150</xdr:rowOff>
    </xdr:to>
    <xdr:sp macro="" textlink="">
      <xdr:nvSpPr>
        <xdr:cNvPr id="305" name="AutoShap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3143250" y="9641205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473</xdr:row>
      <xdr:rowOff>9525</xdr:rowOff>
    </xdr:from>
    <xdr:to>
      <xdr:col>5</xdr:col>
      <xdr:colOff>190500</xdr:colOff>
      <xdr:row>473</xdr:row>
      <xdr:rowOff>66675</xdr:rowOff>
    </xdr:to>
    <xdr:sp macro="" textlink="">
      <xdr:nvSpPr>
        <xdr:cNvPr id="306" name="AutoShap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3333750" y="9642157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473</xdr:row>
      <xdr:rowOff>19050</xdr:rowOff>
    </xdr:from>
    <xdr:to>
      <xdr:col>5</xdr:col>
      <xdr:colOff>266700</xdr:colOff>
      <xdr:row>473</xdr:row>
      <xdr:rowOff>76200</xdr:rowOff>
    </xdr:to>
    <xdr:sp macro="" textlink="">
      <xdr:nvSpPr>
        <xdr:cNvPr id="307" name="AutoShap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3409950" y="964311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473</xdr:row>
      <xdr:rowOff>28575</xdr:rowOff>
    </xdr:from>
    <xdr:to>
      <xdr:col>5</xdr:col>
      <xdr:colOff>419100</xdr:colOff>
      <xdr:row>473</xdr:row>
      <xdr:rowOff>85725</xdr:rowOff>
    </xdr:to>
    <xdr:sp macro="" textlink="">
      <xdr:nvSpPr>
        <xdr:cNvPr id="308" name="AutoShap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3562350" y="964406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381000</xdr:colOff>
      <xdr:row>472</xdr:row>
      <xdr:rowOff>38100</xdr:rowOff>
    </xdr:from>
    <xdr:to>
      <xdr:col>4</xdr:col>
      <xdr:colOff>438150</xdr:colOff>
      <xdr:row>472</xdr:row>
      <xdr:rowOff>95250</xdr:rowOff>
    </xdr:to>
    <xdr:sp macro="" textlink="">
      <xdr:nvSpPr>
        <xdr:cNvPr id="309" name="AutoShap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2876550" y="962501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257175</xdr:colOff>
      <xdr:row>472</xdr:row>
      <xdr:rowOff>0</xdr:rowOff>
    </xdr:from>
    <xdr:to>
      <xdr:col>5</xdr:col>
      <xdr:colOff>314325</xdr:colOff>
      <xdr:row>472</xdr:row>
      <xdr:rowOff>57150</xdr:rowOff>
    </xdr:to>
    <xdr:sp macro="" textlink="">
      <xdr:nvSpPr>
        <xdr:cNvPr id="310" name="AutoShap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3457575" y="96212025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333375</xdr:colOff>
      <xdr:row>472</xdr:row>
      <xdr:rowOff>142875</xdr:rowOff>
    </xdr:from>
    <xdr:to>
      <xdr:col>5</xdr:col>
      <xdr:colOff>390525</xdr:colOff>
      <xdr:row>473</xdr:row>
      <xdr:rowOff>0</xdr:rowOff>
    </xdr:to>
    <xdr:sp macro="" textlink="">
      <xdr:nvSpPr>
        <xdr:cNvPr id="311" name="AutoShap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96354900"/>
          <a:ext cx="57150" cy="5715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619125</xdr:colOff>
      <xdr:row>470</xdr:row>
      <xdr:rowOff>9525</xdr:rowOff>
    </xdr:from>
    <xdr:to>
      <xdr:col>2</xdr:col>
      <xdr:colOff>66675</xdr:colOff>
      <xdr:row>470</xdr:row>
      <xdr:rowOff>123825</xdr:rowOff>
    </xdr:to>
    <xdr:sp macro="" textlink="">
      <xdr:nvSpPr>
        <xdr:cNvPr id="312" name="Freeform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/>
        </xdr:cNvSpPr>
      </xdr:nvSpPr>
      <xdr:spPr bwMode="auto">
        <a:xfrm>
          <a:off x="971550" y="95821500"/>
          <a:ext cx="190500" cy="114300"/>
        </a:xfrm>
        <a:custGeom>
          <a:avLst/>
          <a:gdLst>
            <a:gd name="T0" fmla="*/ 2147483647 w 20"/>
            <a:gd name="T1" fmla="*/ 0 h 12"/>
            <a:gd name="T2" fmla="*/ 2147483647 w 20"/>
            <a:gd name="T3" fmla="*/ 2147483647 h 12"/>
            <a:gd name="T4" fmla="*/ 2147483647 w 20"/>
            <a:gd name="T5" fmla="*/ 2147483647 h 12"/>
            <a:gd name="T6" fmla="*/ 0 w 20"/>
            <a:gd name="T7" fmla="*/ 2147483647 h 12"/>
            <a:gd name="T8" fmla="*/ 2147483647 w 20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12"/>
            <a:gd name="T17" fmla="*/ 20 w 20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12">
              <a:moveTo>
                <a:pt x="2" y="0"/>
              </a:moveTo>
              <a:cubicBezTo>
                <a:pt x="10" y="4"/>
                <a:pt x="5" y="2"/>
                <a:pt x="20" y="2"/>
              </a:cubicBezTo>
              <a:lnTo>
                <a:pt x="16" y="12"/>
              </a:lnTo>
              <a:lnTo>
                <a:pt x="0" y="10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470</xdr:row>
      <xdr:rowOff>28575</xdr:rowOff>
    </xdr:from>
    <xdr:to>
      <xdr:col>2</xdr:col>
      <xdr:colOff>409575</xdr:colOff>
      <xdr:row>470</xdr:row>
      <xdr:rowOff>180975</xdr:rowOff>
    </xdr:to>
    <xdr:sp macro="" textlink="">
      <xdr:nvSpPr>
        <xdr:cNvPr id="313" name="Freeform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/>
        </xdr:cNvSpPr>
      </xdr:nvSpPr>
      <xdr:spPr bwMode="auto">
        <a:xfrm>
          <a:off x="1295400" y="95840550"/>
          <a:ext cx="209550" cy="152400"/>
        </a:xfrm>
        <a:custGeom>
          <a:avLst/>
          <a:gdLst>
            <a:gd name="T0" fmla="*/ 0 w 22"/>
            <a:gd name="T1" fmla="*/ 0 h 16"/>
            <a:gd name="T2" fmla="*/ 2147483647 w 22"/>
            <a:gd name="T3" fmla="*/ 2147483647 h 16"/>
            <a:gd name="T4" fmla="*/ 2147483647 w 22"/>
            <a:gd name="T5" fmla="*/ 2147483647 h 16"/>
            <a:gd name="T6" fmla="*/ 2147483647 w 22"/>
            <a:gd name="T7" fmla="*/ 2147483647 h 16"/>
            <a:gd name="T8" fmla="*/ 0 w 22"/>
            <a:gd name="T9" fmla="*/ 0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2"/>
            <a:gd name="T16" fmla="*/ 0 h 16"/>
            <a:gd name="T17" fmla="*/ 22 w 22"/>
            <a:gd name="T18" fmla="*/ 16 h 1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2" h="16">
              <a:moveTo>
                <a:pt x="0" y="0"/>
              </a:moveTo>
              <a:cubicBezTo>
                <a:pt x="7" y="1"/>
                <a:pt x="15" y="2"/>
                <a:pt x="22" y="2"/>
              </a:cubicBezTo>
              <a:cubicBezTo>
                <a:pt x="20" y="14"/>
                <a:pt x="21" y="9"/>
                <a:pt x="19" y="16"/>
              </a:cubicBezTo>
              <a:lnTo>
                <a:pt x="2" y="1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723900</xdr:colOff>
      <xdr:row>470</xdr:row>
      <xdr:rowOff>180975</xdr:rowOff>
    </xdr:from>
    <xdr:to>
      <xdr:col>2</xdr:col>
      <xdr:colOff>123825</xdr:colOff>
      <xdr:row>471</xdr:row>
      <xdr:rowOff>76200</xdr:rowOff>
    </xdr:to>
    <xdr:sp macro="" textlink="">
      <xdr:nvSpPr>
        <xdr:cNvPr id="314" name="Freeform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/>
        </xdr:cNvSpPr>
      </xdr:nvSpPr>
      <xdr:spPr bwMode="auto">
        <a:xfrm>
          <a:off x="1076325" y="95992950"/>
          <a:ext cx="142875" cy="95250"/>
        </a:xfrm>
        <a:custGeom>
          <a:avLst/>
          <a:gdLst>
            <a:gd name="T0" fmla="*/ 0 w 15"/>
            <a:gd name="T1" fmla="*/ 0 h 10"/>
            <a:gd name="T2" fmla="*/ 2147483647 w 15"/>
            <a:gd name="T3" fmla="*/ 0 h 10"/>
            <a:gd name="T4" fmla="*/ 2147483647 w 15"/>
            <a:gd name="T5" fmla="*/ 2147483647 h 10"/>
            <a:gd name="T6" fmla="*/ 2147483647 w 15"/>
            <a:gd name="T7" fmla="*/ 2147483647 h 10"/>
            <a:gd name="T8" fmla="*/ 0 w 15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5"/>
            <a:gd name="T16" fmla="*/ 0 h 10"/>
            <a:gd name="T17" fmla="*/ 15 w 15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5" h="10">
              <a:moveTo>
                <a:pt x="0" y="0"/>
              </a:moveTo>
              <a:cubicBezTo>
                <a:pt x="5" y="0"/>
                <a:pt x="10" y="0"/>
                <a:pt x="15" y="0"/>
              </a:cubicBezTo>
              <a:lnTo>
                <a:pt x="13" y="9"/>
              </a:lnTo>
              <a:lnTo>
                <a:pt x="2" y="1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470</xdr:row>
      <xdr:rowOff>38100</xdr:rowOff>
    </xdr:from>
    <xdr:to>
      <xdr:col>2</xdr:col>
      <xdr:colOff>190500</xdr:colOff>
      <xdr:row>470</xdr:row>
      <xdr:rowOff>152400</xdr:rowOff>
    </xdr:to>
    <xdr:sp macro="" textlink="">
      <xdr:nvSpPr>
        <xdr:cNvPr id="315" name="Freeform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/>
        </xdr:cNvSpPr>
      </xdr:nvSpPr>
      <xdr:spPr bwMode="auto">
        <a:xfrm>
          <a:off x="1133475" y="95850075"/>
          <a:ext cx="152400" cy="114300"/>
        </a:xfrm>
        <a:custGeom>
          <a:avLst/>
          <a:gdLst>
            <a:gd name="T0" fmla="*/ 2147483647 w 16"/>
            <a:gd name="T1" fmla="*/ 0 h 12"/>
            <a:gd name="T2" fmla="*/ 2147483647 w 16"/>
            <a:gd name="T3" fmla="*/ 2147483647 h 12"/>
            <a:gd name="T4" fmla="*/ 2147483647 w 16"/>
            <a:gd name="T5" fmla="*/ 2147483647 h 12"/>
            <a:gd name="T6" fmla="*/ 0 w 16"/>
            <a:gd name="T7" fmla="*/ 2147483647 h 12"/>
            <a:gd name="T8" fmla="*/ 2147483647 w 16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"/>
            <a:gd name="T16" fmla="*/ 0 h 12"/>
            <a:gd name="T17" fmla="*/ 16 w 16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" h="12">
              <a:moveTo>
                <a:pt x="7" y="0"/>
              </a:moveTo>
              <a:lnTo>
                <a:pt x="15" y="3"/>
              </a:lnTo>
              <a:lnTo>
                <a:pt x="16" y="12"/>
              </a:lnTo>
              <a:lnTo>
                <a:pt x="0" y="9"/>
              </a:lnTo>
              <a:lnTo>
                <a:pt x="7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523875</xdr:colOff>
      <xdr:row>470</xdr:row>
      <xdr:rowOff>123825</xdr:rowOff>
    </xdr:from>
    <xdr:to>
      <xdr:col>1</xdr:col>
      <xdr:colOff>685800</xdr:colOff>
      <xdr:row>471</xdr:row>
      <xdr:rowOff>66675</xdr:rowOff>
    </xdr:to>
    <xdr:sp macro="" textlink="">
      <xdr:nvSpPr>
        <xdr:cNvPr id="316" name="Freeform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/>
        </xdr:cNvSpPr>
      </xdr:nvSpPr>
      <xdr:spPr bwMode="auto">
        <a:xfrm>
          <a:off x="876300" y="95935800"/>
          <a:ext cx="161925" cy="142875"/>
        </a:xfrm>
        <a:custGeom>
          <a:avLst/>
          <a:gdLst>
            <a:gd name="T0" fmla="*/ 0 w 17"/>
            <a:gd name="T1" fmla="*/ 0 h 15"/>
            <a:gd name="T2" fmla="*/ 2147483647 w 17"/>
            <a:gd name="T3" fmla="*/ 2147483647 h 15"/>
            <a:gd name="T4" fmla="*/ 2147483647 w 17"/>
            <a:gd name="T5" fmla="*/ 2147483647 h 15"/>
            <a:gd name="T6" fmla="*/ 2147483647 w 17"/>
            <a:gd name="T7" fmla="*/ 2147483647 h 15"/>
            <a:gd name="T8" fmla="*/ 0 w 17"/>
            <a:gd name="T9" fmla="*/ 0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7"/>
            <a:gd name="T16" fmla="*/ 0 h 15"/>
            <a:gd name="T17" fmla="*/ 17 w 17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7" h="15">
              <a:moveTo>
                <a:pt x="0" y="0"/>
              </a:moveTo>
              <a:lnTo>
                <a:pt x="16" y="4"/>
              </a:lnTo>
              <a:lnTo>
                <a:pt x="17" y="15"/>
              </a:lnTo>
              <a:lnTo>
                <a:pt x="1" y="15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470</xdr:row>
      <xdr:rowOff>190500</xdr:rowOff>
    </xdr:from>
    <xdr:to>
      <xdr:col>2</xdr:col>
      <xdr:colOff>428625</xdr:colOff>
      <xdr:row>471</xdr:row>
      <xdr:rowOff>123825</xdr:rowOff>
    </xdr:to>
    <xdr:sp macro="" textlink="">
      <xdr:nvSpPr>
        <xdr:cNvPr id="317" name="Freeform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/>
        </xdr:cNvSpPr>
      </xdr:nvSpPr>
      <xdr:spPr bwMode="auto">
        <a:xfrm>
          <a:off x="1181100" y="96002475"/>
          <a:ext cx="342900" cy="133350"/>
        </a:xfrm>
        <a:custGeom>
          <a:avLst/>
          <a:gdLst>
            <a:gd name="T0" fmla="*/ 2147483647 w 36"/>
            <a:gd name="T1" fmla="*/ 0 h 14"/>
            <a:gd name="T2" fmla="*/ 2147483647 w 36"/>
            <a:gd name="T3" fmla="*/ 2147483647 h 14"/>
            <a:gd name="T4" fmla="*/ 2147483647 w 36"/>
            <a:gd name="T5" fmla="*/ 2147483647 h 14"/>
            <a:gd name="T6" fmla="*/ 0 w 36"/>
            <a:gd name="T7" fmla="*/ 2147483647 h 14"/>
            <a:gd name="T8" fmla="*/ 2147483647 w 36"/>
            <a:gd name="T9" fmla="*/ 0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6"/>
            <a:gd name="T16" fmla="*/ 0 h 14"/>
            <a:gd name="T17" fmla="*/ 36 w 36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6" h="14">
              <a:moveTo>
                <a:pt x="11" y="0"/>
              </a:moveTo>
              <a:lnTo>
                <a:pt x="36" y="4"/>
              </a:lnTo>
              <a:lnTo>
                <a:pt x="30" y="14"/>
              </a:lnTo>
              <a:lnTo>
                <a:pt x="0" y="13"/>
              </a:lnTo>
              <a:lnTo>
                <a:pt x="11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390525</xdr:colOff>
      <xdr:row>469</xdr:row>
      <xdr:rowOff>180975</xdr:rowOff>
    </xdr:from>
    <xdr:to>
      <xdr:col>2</xdr:col>
      <xdr:colOff>600075</xdr:colOff>
      <xdr:row>470</xdr:row>
      <xdr:rowOff>76200</xdr:rowOff>
    </xdr:to>
    <xdr:sp macro="" textlink="">
      <xdr:nvSpPr>
        <xdr:cNvPr id="318" name="Freeform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/>
        </xdr:cNvSpPr>
      </xdr:nvSpPr>
      <xdr:spPr bwMode="auto">
        <a:xfrm>
          <a:off x="1485900" y="95792925"/>
          <a:ext cx="209550" cy="95250"/>
        </a:xfrm>
        <a:custGeom>
          <a:avLst/>
          <a:gdLst>
            <a:gd name="T0" fmla="*/ 0 w 22"/>
            <a:gd name="T1" fmla="*/ 0 h 10"/>
            <a:gd name="T2" fmla="*/ 2147483647 w 22"/>
            <a:gd name="T3" fmla="*/ 2147483647 h 10"/>
            <a:gd name="T4" fmla="*/ 2147483647 w 22"/>
            <a:gd name="T5" fmla="*/ 2147483647 h 10"/>
            <a:gd name="T6" fmla="*/ 0 w 22"/>
            <a:gd name="T7" fmla="*/ 0 h 10"/>
            <a:gd name="T8" fmla="*/ 0 60000 65536"/>
            <a:gd name="T9" fmla="*/ 0 60000 65536"/>
            <a:gd name="T10" fmla="*/ 0 60000 65536"/>
            <a:gd name="T11" fmla="*/ 0 60000 65536"/>
            <a:gd name="T12" fmla="*/ 0 w 22"/>
            <a:gd name="T13" fmla="*/ 0 h 10"/>
            <a:gd name="T14" fmla="*/ 22 w 22"/>
            <a:gd name="T15" fmla="*/ 10 h 1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" h="10">
              <a:moveTo>
                <a:pt x="0" y="0"/>
              </a:moveTo>
              <a:lnTo>
                <a:pt x="22" y="2"/>
              </a:lnTo>
              <a:lnTo>
                <a:pt x="16" y="1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390525</xdr:colOff>
      <xdr:row>470</xdr:row>
      <xdr:rowOff>66675</xdr:rowOff>
    </xdr:from>
    <xdr:to>
      <xdr:col>2</xdr:col>
      <xdr:colOff>657225</xdr:colOff>
      <xdr:row>471</xdr:row>
      <xdr:rowOff>0</xdr:rowOff>
    </xdr:to>
    <xdr:sp macro="" textlink="">
      <xdr:nvSpPr>
        <xdr:cNvPr id="319" name="Freeform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/>
        </xdr:cNvSpPr>
      </xdr:nvSpPr>
      <xdr:spPr bwMode="auto">
        <a:xfrm>
          <a:off x="1485900" y="95878650"/>
          <a:ext cx="266700" cy="133350"/>
        </a:xfrm>
        <a:custGeom>
          <a:avLst/>
          <a:gdLst>
            <a:gd name="T0" fmla="*/ 2147483647 w 28"/>
            <a:gd name="T1" fmla="*/ 0 h 14"/>
            <a:gd name="T2" fmla="*/ 2147483647 w 28"/>
            <a:gd name="T3" fmla="*/ 2147483647 h 14"/>
            <a:gd name="T4" fmla="*/ 2147483647 w 28"/>
            <a:gd name="T5" fmla="*/ 2147483647 h 14"/>
            <a:gd name="T6" fmla="*/ 0 w 28"/>
            <a:gd name="T7" fmla="*/ 2147483647 h 14"/>
            <a:gd name="T8" fmla="*/ 2147483647 w 28"/>
            <a:gd name="T9" fmla="*/ 0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8"/>
            <a:gd name="T16" fmla="*/ 0 h 14"/>
            <a:gd name="T17" fmla="*/ 28 w 28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8" h="14">
              <a:moveTo>
                <a:pt x="7" y="0"/>
              </a:moveTo>
              <a:lnTo>
                <a:pt x="28" y="6"/>
              </a:lnTo>
              <a:lnTo>
                <a:pt x="22" y="14"/>
              </a:lnTo>
              <a:lnTo>
                <a:pt x="0" y="9"/>
              </a:lnTo>
              <a:lnTo>
                <a:pt x="7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470</xdr:row>
      <xdr:rowOff>190500</xdr:rowOff>
    </xdr:from>
    <xdr:to>
      <xdr:col>2</xdr:col>
      <xdr:colOff>790575</xdr:colOff>
      <xdr:row>471</xdr:row>
      <xdr:rowOff>123825</xdr:rowOff>
    </xdr:to>
    <xdr:sp macro="" textlink="">
      <xdr:nvSpPr>
        <xdr:cNvPr id="320" name="Freeform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/>
        </xdr:cNvSpPr>
      </xdr:nvSpPr>
      <xdr:spPr bwMode="auto">
        <a:xfrm>
          <a:off x="1590675" y="96002475"/>
          <a:ext cx="295275" cy="133350"/>
        </a:xfrm>
        <a:custGeom>
          <a:avLst/>
          <a:gdLst>
            <a:gd name="T0" fmla="*/ 0 w 31"/>
            <a:gd name="T1" fmla="*/ 2147483647 h 14"/>
            <a:gd name="T2" fmla="*/ 2147483647 w 31"/>
            <a:gd name="T3" fmla="*/ 0 h 14"/>
            <a:gd name="T4" fmla="*/ 2147483647 w 31"/>
            <a:gd name="T5" fmla="*/ 2147483647 h 14"/>
            <a:gd name="T6" fmla="*/ 2147483647 w 31"/>
            <a:gd name="T7" fmla="*/ 2147483647 h 14"/>
            <a:gd name="T8" fmla="*/ 0 w 31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1"/>
            <a:gd name="T16" fmla="*/ 0 h 14"/>
            <a:gd name="T17" fmla="*/ 31 w 31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1" h="14">
              <a:moveTo>
                <a:pt x="0" y="2"/>
              </a:moveTo>
              <a:lnTo>
                <a:pt x="31" y="0"/>
              </a:lnTo>
              <a:lnTo>
                <a:pt x="27" y="10"/>
              </a:lnTo>
              <a:lnTo>
                <a:pt x="1" y="14"/>
              </a:lnTo>
              <a:lnTo>
                <a:pt x="0" y="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714375</xdr:colOff>
      <xdr:row>469</xdr:row>
      <xdr:rowOff>190500</xdr:rowOff>
    </xdr:from>
    <xdr:to>
      <xdr:col>3</xdr:col>
      <xdr:colOff>142875</xdr:colOff>
      <xdr:row>470</xdr:row>
      <xdr:rowOff>85725</xdr:rowOff>
    </xdr:to>
    <xdr:sp macro="" textlink="">
      <xdr:nvSpPr>
        <xdr:cNvPr id="321" name="Freeform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/>
        </xdr:cNvSpPr>
      </xdr:nvSpPr>
      <xdr:spPr bwMode="auto">
        <a:xfrm>
          <a:off x="1809750" y="95802450"/>
          <a:ext cx="257175" cy="95250"/>
        </a:xfrm>
        <a:custGeom>
          <a:avLst/>
          <a:gdLst>
            <a:gd name="T0" fmla="*/ 2147483647 w 27"/>
            <a:gd name="T1" fmla="*/ 0 h 10"/>
            <a:gd name="T2" fmla="*/ 2147483647 w 27"/>
            <a:gd name="T3" fmla="*/ 0 h 10"/>
            <a:gd name="T4" fmla="*/ 2147483647 w 27"/>
            <a:gd name="T5" fmla="*/ 2147483647 h 10"/>
            <a:gd name="T6" fmla="*/ 0 w 27"/>
            <a:gd name="T7" fmla="*/ 2147483647 h 10"/>
            <a:gd name="T8" fmla="*/ 2147483647 w 27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7"/>
            <a:gd name="T16" fmla="*/ 0 h 10"/>
            <a:gd name="T17" fmla="*/ 27 w 27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7" h="10">
              <a:moveTo>
                <a:pt x="1" y="0"/>
              </a:moveTo>
              <a:lnTo>
                <a:pt x="27" y="0"/>
              </a:lnTo>
              <a:lnTo>
                <a:pt x="23" y="10"/>
              </a:lnTo>
              <a:lnTo>
                <a:pt x="0" y="10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504825</xdr:colOff>
      <xdr:row>469</xdr:row>
      <xdr:rowOff>161925</xdr:rowOff>
    </xdr:from>
    <xdr:to>
      <xdr:col>1</xdr:col>
      <xdr:colOff>600075</xdr:colOff>
      <xdr:row>470</xdr:row>
      <xdr:rowOff>66675</xdr:rowOff>
    </xdr:to>
    <xdr:sp macro="" textlink="">
      <xdr:nvSpPr>
        <xdr:cNvPr id="322" name="Freeform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/>
        </xdr:cNvSpPr>
      </xdr:nvSpPr>
      <xdr:spPr bwMode="auto">
        <a:xfrm>
          <a:off x="857250" y="95773875"/>
          <a:ext cx="95250" cy="104775"/>
        </a:xfrm>
        <a:custGeom>
          <a:avLst/>
          <a:gdLst>
            <a:gd name="T0" fmla="*/ 0 w 10"/>
            <a:gd name="T1" fmla="*/ 0 h 11"/>
            <a:gd name="T2" fmla="*/ 2147483647 w 10"/>
            <a:gd name="T3" fmla="*/ 0 h 11"/>
            <a:gd name="T4" fmla="*/ 2147483647 w 10"/>
            <a:gd name="T5" fmla="*/ 2147483647 h 11"/>
            <a:gd name="T6" fmla="*/ 0 w 10"/>
            <a:gd name="T7" fmla="*/ 0 h 11"/>
            <a:gd name="T8" fmla="*/ 0 60000 65536"/>
            <a:gd name="T9" fmla="*/ 0 60000 65536"/>
            <a:gd name="T10" fmla="*/ 0 60000 65536"/>
            <a:gd name="T11" fmla="*/ 0 60000 65536"/>
            <a:gd name="T12" fmla="*/ 0 w 10"/>
            <a:gd name="T13" fmla="*/ 0 h 11"/>
            <a:gd name="T14" fmla="*/ 10 w 10"/>
            <a:gd name="T15" fmla="*/ 11 h 1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" h="11">
              <a:moveTo>
                <a:pt x="0" y="0"/>
              </a:moveTo>
              <a:lnTo>
                <a:pt x="10" y="0"/>
              </a:lnTo>
              <a:lnTo>
                <a:pt x="7" y="11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470</xdr:row>
      <xdr:rowOff>104775</xdr:rowOff>
    </xdr:from>
    <xdr:to>
      <xdr:col>3</xdr:col>
      <xdr:colOff>219075</xdr:colOff>
      <xdr:row>470</xdr:row>
      <xdr:rowOff>180975</xdr:rowOff>
    </xdr:to>
    <xdr:sp macro="" textlink="">
      <xdr:nvSpPr>
        <xdr:cNvPr id="323" name="Freeform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/>
        </xdr:cNvSpPr>
      </xdr:nvSpPr>
      <xdr:spPr bwMode="auto">
        <a:xfrm>
          <a:off x="1790700" y="95916750"/>
          <a:ext cx="352425" cy="76200"/>
        </a:xfrm>
        <a:custGeom>
          <a:avLst/>
          <a:gdLst>
            <a:gd name="T0" fmla="*/ 0 w 37"/>
            <a:gd name="T1" fmla="*/ 2147483647 h 8"/>
            <a:gd name="T2" fmla="*/ 2147483647 w 37"/>
            <a:gd name="T3" fmla="*/ 0 h 8"/>
            <a:gd name="T4" fmla="*/ 2147483647 w 37"/>
            <a:gd name="T5" fmla="*/ 2147483647 h 8"/>
            <a:gd name="T6" fmla="*/ 0 w 37"/>
            <a:gd name="T7" fmla="*/ 2147483647 h 8"/>
            <a:gd name="T8" fmla="*/ 0 60000 65536"/>
            <a:gd name="T9" fmla="*/ 0 60000 65536"/>
            <a:gd name="T10" fmla="*/ 0 60000 65536"/>
            <a:gd name="T11" fmla="*/ 0 60000 65536"/>
            <a:gd name="T12" fmla="*/ 0 w 37"/>
            <a:gd name="T13" fmla="*/ 0 h 8"/>
            <a:gd name="T14" fmla="*/ 37 w 37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7" h="8">
              <a:moveTo>
                <a:pt x="0" y="1"/>
              </a:moveTo>
              <a:lnTo>
                <a:pt x="37" y="0"/>
              </a:lnTo>
              <a:lnTo>
                <a:pt x="31" y="8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809625</xdr:colOff>
      <xdr:row>470</xdr:row>
      <xdr:rowOff>190500</xdr:rowOff>
    </xdr:from>
    <xdr:to>
      <xdr:col>3</xdr:col>
      <xdr:colOff>266700</xdr:colOff>
      <xdr:row>471</xdr:row>
      <xdr:rowOff>123825</xdr:rowOff>
    </xdr:to>
    <xdr:sp macro="" textlink="">
      <xdr:nvSpPr>
        <xdr:cNvPr id="324" name="Freeform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/>
        </xdr:cNvSpPr>
      </xdr:nvSpPr>
      <xdr:spPr bwMode="auto">
        <a:xfrm>
          <a:off x="1905000" y="96002475"/>
          <a:ext cx="285750" cy="133350"/>
        </a:xfrm>
        <a:custGeom>
          <a:avLst/>
          <a:gdLst>
            <a:gd name="T0" fmla="*/ 0 w 30"/>
            <a:gd name="T1" fmla="*/ 2147483647 h 14"/>
            <a:gd name="T2" fmla="*/ 2147483647 w 30"/>
            <a:gd name="T3" fmla="*/ 0 h 14"/>
            <a:gd name="T4" fmla="*/ 2147483647 w 30"/>
            <a:gd name="T5" fmla="*/ 2147483647 h 14"/>
            <a:gd name="T6" fmla="*/ 2147483647 w 30"/>
            <a:gd name="T7" fmla="*/ 2147483647 h 14"/>
            <a:gd name="T8" fmla="*/ 0 w 30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0"/>
            <a:gd name="T16" fmla="*/ 0 h 14"/>
            <a:gd name="T17" fmla="*/ 30 w 30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0" h="14">
              <a:moveTo>
                <a:pt x="0" y="8"/>
              </a:moveTo>
              <a:lnTo>
                <a:pt x="29" y="0"/>
              </a:lnTo>
              <a:lnTo>
                <a:pt x="30" y="8"/>
              </a:lnTo>
              <a:lnTo>
                <a:pt x="15" y="14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469</xdr:row>
      <xdr:rowOff>190500</xdr:rowOff>
    </xdr:from>
    <xdr:to>
      <xdr:col>3</xdr:col>
      <xdr:colOff>409575</xdr:colOff>
      <xdr:row>470</xdr:row>
      <xdr:rowOff>114300</xdr:rowOff>
    </xdr:to>
    <xdr:sp macro="" textlink="">
      <xdr:nvSpPr>
        <xdr:cNvPr id="325" name="Freeform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/>
        </xdr:cNvSpPr>
      </xdr:nvSpPr>
      <xdr:spPr bwMode="auto">
        <a:xfrm>
          <a:off x="2143125" y="95802450"/>
          <a:ext cx="190500" cy="123825"/>
        </a:xfrm>
        <a:custGeom>
          <a:avLst/>
          <a:gdLst>
            <a:gd name="T0" fmla="*/ 0 w 20"/>
            <a:gd name="T1" fmla="*/ 2147483647 h 13"/>
            <a:gd name="T2" fmla="*/ 2147483647 w 20"/>
            <a:gd name="T3" fmla="*/ 0 h 13"/>
            <a:gd name="T4" fmla="*/ 2147483647 w 20"/>
            <a:gd name="T5" fmla="*/ 2147483647 h 13"/>
            <a:gd name="T6" fmla="*/ 0 w 20"/>
            <a:gd name="T7" fmla="*/ 2147483647 h 13"/>
            <a:gd name="T8" fmla="*/ 0 w 20"/>
            <a:gd name="T9" fmla="*/ 2147483647 h 1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13"/>
            <a:gd name="T17" fmla="*/ 20 w 20"/>
            <a:gd name="T18" fmla="*/ 13 h 1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13">
              <a:moveTo>
                <a:pt x="0" y="1"/>
              </a:moveTo>
              <a:lnTo>
                <a:pt x="20" y="0"/>
              </a:lnTo>
              <a:lnTo>
                <a:pt x="20" y="9"/>
              </a:lnTo>
              <a:lnTo>
                <a:pt x="0" y="13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276225</xdr:colOff>
      <xdr:row>470</xdr:row>
      <xdr:rowOff>114300</xdr:rowOff>
    </xdr:from>
    <xdr:to>
      <xdr:col>3</xdr:col>
      <xdr:colOff>466725</xdr:colOff>
      <xdr:row>471</xdr:row>
      <xdr:rowOff>38100</xdr:rowOff>
    </xdr:to>
    <xdr:sp macro="" textlink="">
      <xdr:nvSpPr>
        <xdr:cNvPr id="326" name="Freeform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/>
        </xdr:cNvSpPr>
      </xdr:nvSpPr>
      <xdr:spPr bwMode="auto">
        <a:xfrm>
          <a:off x="2200275" y="95926275"/>
          <a:ext cx="190500" cy="123825"/>
        </a:xfrm>
        <a:custGeom>
          <a:avLst/>
          <a:gdLst>
            <a:gd name="T0" fmla="*/ 0 w 20"/>
            <a:gd name="T1" fmla="*/ 2147483647 h 13"/>
            <a:gd name="T2" fmla="*/ 2147483647 w 20"/>
            <a:gd name="T3" fmla="*/ 0 h 13"/>
            <a:gd name="T4" fmla="*/ 2147483647 w 20"/>
            <a:gd name="T5" fmla="*/ 2147483647 h 13"/>
            <a:gd name="T6" fmla="*/ 0 w 20"/>
            <a:gd name="T7" fmla="*/ 2147483647 h 13"/>
            <a:gd name="T8" fmla="*/ 0 60000 65536"/>
            <a:gd name="T9" fmla="*/ 0 60000 65536"/>
            <a:gd name="T10" fmla="*/ 0 60000 65536"/>
            <a:gd name="T11" fmla="*/ 0 60000 65536"/>
            <a:gd name="T12" fmla="*/ 0 w 20"/>
            <a:gd name="T13" fmla="*/ 0 h 13"/>
            <a:gd name="T14" fmla="*/ 20 w 20"/>
            <a:gd name="T15" fmla="*/ 13 h 1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0" h="13">
              <a:moveTo>
                <a:pt x="0" y="3"/>
              </a:moveTo>
              <a:lnTo>
                <a:pt x="20" y="0"/>
              </a:lnTo>
              <a:lnTo>
                <a:pt x="12" y="13"/>
              </a:lnTo>
              <a:lnTo>
                <a:pt x="0" y="3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276225</xdr:colOff>
      <xdr:row>471</xdr:row>
      <xdr:rowOff>28575</xdr:rowOff>
    </xdr:from>
    <xdr:to>
      <xdr:col>3</xdr:col>
      <xdr:colOff>571500</xdr:colOff>
      <xdr:row>471</xdr:row>
      <xdr:rowOff>161925</xdr:rowOff>
    </xdr:to>
    <xdr:sp macro="" textlink="">
      <xdr:nvSpPr>
        <xdr:cNvPr id="327" name="Freeform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/>
        </xdr:cNvSpPr>
      </xdr:nvSpPr>
      <xdr:spPr bwMode="auto">
        <a:xfrm>
          <a:off x="2200275" y="96040575"/>
          <a:ext cx="295275" cy="133350"/>
        </a:xfrm>
        <a:custGeom>
          <a:avLst/>
          <a:gdLst>
            <a:gd name="T0" fmla="*/ 2147483647 w 31"/>
            <a:gd name="T1" fmla="*/ 2147483647 h 14"/>
            <a:gd name="T2" fmla="*/ 2147483647 w 31"/>
            <a:gd name="T3" fmla="*/ 0 h 14"/>
            <a:gd name="T4" fmla="*/ 2147483647 w 31"/>
            <a:gd name="T5" fmla="*/ 2147483647 h 14"/>
            <a:gd name="T6" fmla="*/ 0 w 31"/>
            <a:gd name="T7" fmla="*/ 2147483647 h 14"/>
            <a:gd name="T8" fmla="*/ 2147483647 w 31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1"/>
            <a:gd name="T16" fmla="*/ 0 h 14"/>
            <a:gd name="T17" fmla="*/ 31 w 31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1" h="14">
              <a:moveTo>
                <a:pt x="6" y="4"/>
              </a:moveTo>
              <a:lnTo>
                <a:pt x="31" y="0"/>
              </a:lnTo>
              <a:lnTo>
                <a:pt x="28" y="8"/>
              </a:lnTo>
              <a:lnTo>
                <a:pt x="0" y="1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469</xdr:row>
      <xdr:rowOff>190500</xdr:rowOff>
    </xdr:from>
    <xdr:to>
      <xdr:col>4</xdr:col>
      <xdr:colOff>85725</xdr:colOff>
      <xdr:row>470</xdr:row>
      <xdr:rowOff>104775</xdr:rowOff>
    </xdr:to>
    <xdr:sp macro="" textlink="">
      <xdr:nvSpPr>
        <xdr:cNvPr id="328" name="Freeform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/>
        </xdr:cNvSpPr>
      </xdr:nvSpPr>
      <xdr:spPr bwMode="auto">
        <a:xfrm>
          <a:off x="2390775" y="95802450"/>
          <a:ext cx="190500" cy="114300"/>
        </a:xfrm>
        <a:custGeom>
          <a:avLst/>
          <a:gdLst>
            <a:gd name="T0" fmla="*/ 2147483647 w 25"/>
            <a:gd name="T1" fmla="*/ 0 h 12"/>
            <a:gd name="T2" fmla="*/ 2147483647 w 25"/>
            <a:gd name="T3" fmla="*/ 2147483647 h 12"/>
            <a:gd name="T4" fmla="*/ 2147483647 w 25"/>
            <a:gd name="T5" fmla="*/ 2147483647 h 12"/>
            <a:gd name="T6" fmla="*/ 0 w 25"/>
            <a:gd name="T7" fmla="*/ 2147483647 h 12"/>
            <a:gd name="T8" fmla="*/ 2147483647 w 25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5"/>
            <a:gd name="T16" fmla="*/ 0 h 12"/>
            <a:gd name="T17" fmla="*/ 25 w 25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5" h="12">
              <a:moveTo>
                <a:pt x="6" y="0"/>
              </a:moveTo>
              <a:lnTo>
                <a:pt x="25" y="1"/>
              </a:lnTo>
              <a:lnTo>
                <a:pt x="21" y="12"/>
              </a:lnTo>
              <a:lnTo>
                <a:pt x="0" y="8"/>
              </a:lnTo>
              <a:lnTo>
                <a:pt x="6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523875</xdr:colOff>
      <xdr:row>470</xdr:row>
      <xdr:rowOff>123825</xdr:rowOff>
    </xdr:from>
    <xdr:to>
      <xdr:col>4</xdr:col>
      <xdr:colOff>180975</xdr:colOff>
      <xdr:row>471</xdr:row>
      <xdr:rowOff>38100</xdr:rowOff>
    </xdr:to>
    <xdr:sp macro="" textlink="">
      <xdr:nvSpPr>
        <xdr:cNvPr id="329" name="Freeform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/>
        </xdr:cNvSpPr>
      </xdr:nvSpPr>
      <xdr:spPr bwMode="auto">
        <a:xfrm>
          <a:off x="2447925" y="95935800"/>
          <a:ext cx="228600" cy="114300"/>
        </a:xfrm>
        <a:custGeom>
          <a:avLst/>
          <a:gdLst>
            <a:gd name="T0" fmla="*/ 2147483647 w 29"/>
            <a:gd name="T1" fmla="*/ 0 h 12"/>
            <a:gd name="T2" fmla="*/ 2147483647 w 29"/>
            <a:gd name="T3" fmla="*/ 0 h 12"/>
            <a:gd name="T4" fmla="*/ 2147483647 w 29"/>
            <a:gd name="T5" fmla="*/ 2147483647 h 12"/>
            <a:gd name="T6" fmla="*/ 0 w 29"/>
            <a:gd name="T7" fmla="*/ 2147483647 h 12"/>
            <a:gd name="T8" fmla="*/ 2147483647 w 29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9"/>
            <a:gd name="T16" fmla="*/ 0 h 12"/>
            <a:gd name="T17" fmla="*/ 29 w 29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9" h="12">
              <a:moveTo>
                <a:pt x="1" y="0"/>
              </a:moveTo>
              <a:lnTo>
                <a:pt x="29" y="0"/>
              </a:lnTo>
              <a:lnTo>
                <a:pt x="23" y="12"/>
              </a:lnTo>
              <a:lnTo>
                <a:pt x="0" y="9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523875</xdr:colOff>
      <xdr:row>471</xdr:row>
      <xdr:rowOff>28575</xdr:rowOff>
    </xdr:from>
    <xdr:to>
      <xdr:col>4</xdr:col>
      <xdr:colOff>238125</xdr:colOff>
      <xdr:row>471</xdr:row>
      <xdr:rowOff>123825</xdr:rowOff>
    </xdr:to>
    <xdr:sp macro="" textlink="">
      <xdr:nvSpPr>
        <xdr:cNvPr id="330" name="Freeform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/>
        </xdr:cNvSpPr>
      </xdr:nvSpPr>
      <xdr:spPr bwMode="auto">
        <a:xfrm>
          <a:off x="2447925" y="96040575"/>
          <a:ext cx="285750" cy="95250"/>
        </a:xfrm>
        <a:custGeom>
          <a:avLst/>
          <a:gdLst>
            <a:gd name="T0" fmla="*/ 2147483647 w 35"/>
            <a:gd name="T1" fmla="*/ 0 h 10"/>
            <a:gd name="T2" fmla="*/ 2147483647 w 35"/>
            <a:gd name="T3" fmla="*/ 2147483647 h 10"/>
            <a:gd name="T4" fmla="*/ 2147483647 w 35"/>
            <a:gd name="T5" fmla="*/ 2147483647 h 10"/>
            <a:gd name="T6" fmla="*/ 0 w 35"/>
            <a:gd name="T7" fmla="*/ 2147483647 h 10"/>
            <a:gd name="T8" fmla="*/ 2147483647 w 35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5"/>
            <a:gd name="T16" fmla="*/ 0 h 10"/>
            <a:gd name="T17" fmla="*/ 35 w 35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5" h="10">
              <a:moveTo>
                <a:pt x="8" y="0"/>
              </a:moveTo>
              <a:lnTo>
                <a:pt x="35" y="1"/>
              </a:lnTo>
              <a:lnTo>
                <a:pt x="27" y="10"/>
              </a:lnTo>
              <a:lnTo>
                <a:pt x="0" y="10"/>
              </a:lnTo>
              <a:lnTo>
                <a:pt x="8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469</xdr:row>
      <xdr:rowOff>161925</xdr:rowOff>
    </xdr:from>
    <xdr:to>
      <xdr:col>4</xdr:col>
      <xdr:colOff>352425</xdr:colOff>
      <xdr:row>470</xdr:row>
      <xdr:rowOff>47625</xdr:rowOff>
    </xdr:to>
    <xdr:sp macro="" textlink="">
      <xdr:nvSpPr>
        <xdr:cNvPr id="331" name="Freeform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/>
        </xdr:cNvSpPr>
      </xdr:nvSpPr>
      <xdr:spPr bwMode="auto">
        <a:xfrm>
          <a:off x="2638425" y="95773875"/>
          <a:ext cx="209550" cy="85725"/>
        </a:xfrm>
        <a:custGeom>
          <a:avLst/>
          <a:gdLst>
            <a:gd name="T0" fmla="*/ 2147483647 w 22"/>
            <a:gd name="T1" fmla="*/ 0 h 9"/>
            <a:gd name="T2" fmla="*/ 2147483647 w 22"/>
            <a:gd name="T3" fmla="*/ 2147483647 h 9"/>
            <a:gd name="T4" fmla="*/ 2147483647 w 22"/>
            <a:gd name="T5" fmla="*/ 2147483647 h 9"/>
            <a:gd name="T6" fmla="*/ 0 w 22"/>
            <a:gd name="T7" fmla="*/ 2147483647 h 9"/>
            <a:gd name="T8" fmla="*/ 2147483647 w 22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2"/>
            <a:gd name="T16" fmla="*/ 0 h 9"/>
            <a:gd name="T17" fmla="*/ 22 w 22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2" h="9">
              <a:moveTo>
                <a:pt x="1" y="0"/>
              </a:moveTo>
              <a:lnTo>
                <a:pt x="22" y="2"/>
              </a:lnTo>
              <a:lnTo>
                <a:pt x="17" y="9"/>
              </a:lnTo>
              <a:lnTo>
                <a:pt x="0" y="9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470</xdr:row>
      <xdr:rowOff>76200</xdr:rowOff>
    </xdr:from>
    <xdr:to>
      <xdr:col>4</xdr:col>
      <xdr:colOff>466725</xdr:colOff>
      <xdr:row>471</xdr:row>
      <xdr:rowOff>0</xdr:rowOff>
    </xdr:to>
    <xdr:sp macro="" textlink="">
      <xdr:nvSpPr>
        <xdr:cNvPr id="332" name="Freeform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/>
        </xdr:cNvSpPr>
      </xdr:nvSpPr>
      <xdr:spPr bwMode="auto">
        <a:xfrm>
          <a:off x="2714625" y="95888175"/>
          <a:ext cx="247650" cy="123825"/>
        </a:xfrm>
        <a:custGeom>
          <a:avLst/>
          <a:gdLst>
            <a:gd name="T0" fmla="*/ 0 w 26"/>
            <a:gd name="T1" fmla="*/ 2147483647 h 13"/>
            <a:gd name="T2" fmla="*/ 2147483647 w 26"/>
            <a:gd name="T3" fmla="*/ 0 h 13"/>
            <a:gd name="T4" fmla="*/ 2147483647 w 26"/>
            <a:gd name="T5" fmla="*/ 2147483647 h 13"/>
            <a:gd name="T6" fmla="*/ 2147483647 w 26"/>
            <a:gd name="T7" fmla="*/ 2147483647 h 13"/>
            <a:gd name="T8" fmla="*/ 0 w 26"/>
            <a:gd name="T9" fmla="*/ 2147483647 h 1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6"/>
            <a:gd name="T16" fmla="*/ 0 h 13"/>
            <a:gd name="T17" fmla="*/ 26 w 26"/>
            <a:gd name="T18" fmla="*/ 13 h 1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6" h="13">
              <a:moveTo>
                <a:pt x="0" y="1"/>
              </a:moveTo>
              <a:lnTo>
                <a:pt x="24" y="0"/>
              </a:lnTo>
              <a:lnTo>
                <a:pt x="26" y="13"/>
              </a:lnTo>
              <a:lnTo>
                <a:pt x="9" y="13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238125</xdr:colOff>
      <xdr:row>471</xdr:row>
      <xdr:rowOff>9525</xdr:rowOff>
    </xdr:from>
    <xdr:to>
      <xdr:col>4</xdr:col>
      <xdr:colOff>561975</xdr:colOff>
      <xdr:row>471</xdr:row>
      <xdr:rowOff>123825</xdr:rowOff>
    </xdr:to>
    <xdr:sp macro="" textlink="">
      <xdr:nvSpPr>
        <xdr:cNvPr id="333" name="Freeform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/>
        </xdr:cNvSpPr>
      </xdr:nvSpPr>
      <xdr:spPr bwMode="auto">
        <a:xfrm>
          <a:off x="2733675" y="96021525"/>
          <a:ext cx="323850" cy="114300"/>
        </a:xfrm>
        <a:custGeom>
          <a:avLst/>
          <a:gdLst>
            <a:gd name="T0" fmla="*/ 2147483647 w 34"/>
            <a:gd name="T1" fmla="*/ 0 h 12"/>
            <a:gd name="T2" fmla="*/ 2147483647 w 34"/>
            <a:gd name="T3" fmla="*/ 2147483647 h 12"/>
            <a:gd name="T4" fmla="*/ 2147483647 w 34"/>
            <a:gd name="T5" fmla="*/ 2147483647 h 12"/>
            <a:gd name="T6" fmla="*/ 0 w 34"/>
            <a:gd name="T7" fmla="*/ 2147483647 h 12"/>
            <a:gd name="T8" fmla="*/ 2147483647 w 34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4"/>
            <a:gd name="T16" fmla="*/ 0 h 12"/>
            <a:gd name="T17" fmla="*/ 34 w 34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4" h="12">
              <a:moveTo>
                <a:pt x="3" y="0"/>
              </a:moveTo>
              <a:lnTo>
                <a:pt x="34" y="2"/>
              </a:lnTo>
              <a:lnTo>
                <a:pt x="32" y="12"/>
              </a:lnTo>
              <a:lnTo>
                <a:pt x="0" y="11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342900</xdr:colOff>
      <xdr:row>469</xdr:row>
      <xdr:rowOff>161925</xdr:rowOff>
    </xdr:from>
    <xdr:to>
      <xdr:col>4</xdr:col>
      <xdr:colOff>647700</xdr:colOff>
      <xdr:row>470</xdr:row>
      <xdr:rowOff>104775</xdr:rowOff>
    </xdr:to>
    <xdr:sp macro="" textlink="">
      <xdr:nvSpPr>
        <xdr:cNvPr id="334" name="Freeform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/>
        </xdr:cNvSpPr>
      </xdr:nvSpPr>
      <xdr:spPr bwMode="auto">
        <a:xfrm>
          <a:off x="2838450" y="95773875"/>
          <a:ext cx="304800" cy="142875"/>
        </a:xfrm>
        <a:custGeom>
          <a:avLst/>
          <a:gdLst>
            <a:gd name="T0" fmla="*/ 2147483647 w 32"/>
            <a:gd name="T1" fmla="*/ 0 h 15"/>
            <a:gd name="T2" fmla="*/ 2147483647 w 32"/>
            <a:gd name="T3" fmla="*/ 2147483647 h 15"/>
            <a:gd name="T4" fmla="*/ 2147483647 w 32"/>
            <a:gd name="T5" fmla="*/ 2147483647 h 15"/>
            <a:gd name="T6" fmla="*/ 0 w 32"/>
            <a:gd name="T7" fmla="*/ 2147483647 h 15"/>
            <a:gd name="T8" fmla="*/ 2147483647 w 32"/>
            <a:gd name="T9" fmla="*/ 0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2"/>
            <a:gd name="T16" fmla="*/ 0 h 15"/>
            <a:gd name="T17" fmla="*/ 32 w 32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2" h="15">
              <a:moveTo>
                <a:pt x="8" y="0"/>
              </a:moveTo>
              <a:lnTo>
                <a:pt x="32" y="2"/>
              </a:lnTo>
              <a:lnTo>
                <a:pt x="25" y="15"/>
              </a:lnTo>
              <a:lnTo>
                <a:pt x="0" y="9"/>
              </a:lnTo>
              <a:lnTo>
                <a:pt x="8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485775</xdr:colOff>
      <xdr:row>470</xdr:row>
      <xdr:rowOff>85725</xdr:rowOff>
    </xdr:from>
    <xdr:to>
      <xdr:col>5</xdr:col>
      <xdr:colOff>47625</xdr:colOff>
      <xdr:row>471</xdr:row>
      <xdr:rowOff>9525</xdr:rowOff>
    </xdr:to>
    <xdr:sp macro="" textlink="">
      <xdr:nvSpPr>
        <xdr:cNvPr id="335" name="Freeform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/>
        </xdr:cNvSpPr>
      </xdr:nvSpPr>
      <xdr:spPr bwMode="auto">
        <a:xfrm>
          <a:off x="2981325" y="95897700"/>
          <a:ext cx="266700" cy="123825"/>
        </a:xfrm>
        <a:custGeom>
          <a:avLst/>
          <a:gdLst>
            <a:gd name="T0" fmla="*/ 2147483647 w 28"/>
            <a:gd name="T1" fmla="*/ 0 h 13"/>
            <a:gd name="T2" fmla="*/ 2147483647 w 28"/>
            <a:gd name="T3" fmla="*/ 2147483647 h 13"/>
            <a:gd name="T4" fmla="*/ 2147483647 w 28"/>
            <a:gd name="T5" fmla="*/ 2147483647 h 13"/>
            <a:gd name="T6" fmla="*/ 0 w 28"/>
            <a:gd name="T7" fmla="*/ 2147483647 h 13"/>
            <a:gd name="T8" fmla="*/ 2147483647 w 28"/>
            <a:gd name="T9" fmla="*/ 0 h 1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8"/>
            <a:gd name="T16" fmla="*/ 0 h 13"/>
            <a:gd name="T17" fmla="*/ 28 w 28"/>
            <a:gd name="T18" fmla="*/ 13 h 1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8" h="13">
              <a:moveTo>
                <a:pt x="2" y="0"/>
              </a:moveTo>
              <a:lnTo>
                <a:pt x="28" y="3"/>
              </a:lnTo>
              <a:lnTo>
                <a:pt x="27" y="13"/>
              </a:lnTo>
              <a:lnTo>
                <a:pt x="0" y="11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471</xdr:row>
      <xdr:rowOff>9525</xdr:rowOff>
    </xdr:from>
    <xdr:to>
      <xdr:col>5</xdr:col>
      <xdr:colOff>190500</xdr:colOff>
      <xdr:row>471</xdr:row>
      <xdr:rowOff>142875</xdr:rowOff>
    </xdr:to>
    <xdr:sp macro="" textlink="">
      <xdr:nvSpPr>
        <xdr:cNvPr id="336" name="Freeform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/>
        </xdr:cNvSpPr>
      </xdr:nvSpPr>
      <xdr:spPr bwMode="auto">
        <a:xfrm>
          <a:off x="3076575" y="96021525"/>
          <a:ext cx="314325" cy="133350"/>
        </a:xfrm>
        <a:custGeom>
          <a:avLst/>
          <a:gdLst>
            <a:gd name="T0" fmla="*/ 2147483647 w 33"/>
            <a:gd name="T1" fmla="*/ 2147483647 h 14"/>
            <a:gd name="T2" fmla="*/ 2147483647 w 33"/>
            <a:gd name="T3" fmla="*/ 0 h 14"/>
            <a:gd name="T4" fmla="*/ 2147483647 w 33"/>
            <a:gd name="T5" fmla="*/ 2147483647 h 14"/>
            <a:gd name="T6" fmla="*/ 0 w 33"/>
            <a:gd name="T7" fmla="*/ 2147483647 h 14"/>
            <a:gd name="T8" fmla="*/ 2147483647 w 33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14"/>
            <a:gd name="T17" fmla="*/ 33 w 33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14">
              <a:moveTo>
                <a:pt x="3" y="2"/>
              </a:moveTo>
              <a:lnTo>
                <a:pt x="33" y="0"/>
              </a:lnTo>
              <a:lnTo>
                <a:pt x="29" y="10"/>
              </a:lnTo>
              <a:lnTo>
                <a:pt x="0" y="14"/>
              </a:lnTo>
              <a:lnTo>
                <a:pt x="3" y="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469</xdr:row>
      <xdr:rowOff>190500</xdr:rowOff>
    </xdr:from>
    <xdr:to>
      <xdr:col>5</xdr:col>
      <xdr:colOff>276225</xdr:colOff>
      <xdr:row>470</xdr:row>
      <xdr:rowOff>104775</xdr:rowOff>
    </xdr:to>
    <xdr:sp macro="" textlink="">
      <xdr:nvSpPr>
        <xdr:cNvPr id="337" name="Freeform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/>
        </xdr:cNvSpPr>
      </xdr:nvSpPr>
      <xdr:spPr bwMode="auto">
        <a:xfrm>
          <a:off x="3181350" y="95802450"/>
          <a:ext cx="295275" cy="114300"/>
        </a:xfrm>
        <a:custGeom>
          <a:avLst/>
          <a:gdLst>
            <a:gd name="T0" fmla="*/ 2147483647 w 31"/>
            <a:gd name="T1" fmla="*/ 0 h 12"/>
            <a:gd name="T2" fmla="*/ 2147483647 w 31"/>
            <a:gd name="T3" fmla="*/ 0 h 12"/>
            <a:gd name="T4" fmla="*/ 2147483647 w 31"/>
            <a:gd name="T5" fmla="*/ 2147483647 h 12"/>
            <a:gd name="T6" fmla="*/ 0 w 31"/>
            <a:gd name="T7" fmla="*/ 2147483647 h 12"/>
            <a:gd name="T8" fmla="*/ 2147483647 w 31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1"/>
            <a:gd name="T16" fmla="*/ 0 h 12"/>
            <a:gd name="T17" fmla="*/ 31 w 31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1" h="12">
              <a:moveTo>
                <a:pt x="2" y="0"/>
              </a:moveTo>
              <a:lnTo>
                <a:pt x="31" y="0"/>
              </a:lnTo>
              <a:lnTo>
                <a:pt x="29" y="12"/>
              </a:lnTo>
              <a:lnTo>
                <a:pt x="0" y="10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371475</xdr:colOff>
      <xdr:row>469</xdr:row>
      <xdr:rowOff>180975</xdr:rowOff>
    </xdr:from>
    <xdr:to>
      <xdr:col>6</xdr:col>
      <xdr:colOff>47625</xdr:colOff>
      <xdr:row>470</xdr:row>
      <xdr:rowOff>85725</xdr:rowOff>
    </xdr:to>
    <xdr:sp macro="" textlink="">
      <xdr:nvSpPr>
        <xdr:cNvPr id="338" name="Freeform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/>
        </xdr:cNvSpPr>
      </xdr:nvSpPr>
      <xdr:spPr bwMode="auto">
        <a:xfrm>
          <a:off x="3571875" y="95792925"/>
          <a:ext cx="381000" cy="104775"/>
        </a:xfrm>
        <a:custGeom>
          <a:avLst/>
          <a:gdLst>
            <a:gd name="T0" fmla="*/ 0 w 40"/>
            <a:gd name="T1" fmla="*/ 0 h 11"/>
            <a:gd name="T2" fmla="*/ 2147483647 w 40"/>
            <a:gd name="T3" fmla="*/ 0 h 11"/>
            <a:gd name="T4" fmla="*/ 2147483647 w 40"/>
            <a:gd name="T5" fmla="*/ 2147483647 h 11"/>
            <a:gd name="T6" fmla="*/ 2147483647 w 40"/>
            <a:gd name="T7" fmla="*/ 2147483647 h 11"/>
            <a:gd name="T8" fmla="*/ 0 w 40"/>
            <a:gd name="T9" fmla="*/ 0 h 1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"/>
            <a:gd name="T16" fmla="*/ 0 h 11"/>
            <a:gd name="T17" fmla="*/ 40 w 40"/>
            <a:gd name="T18" fmla="*/ 11 h 1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" h="11">
              <a:moveTo>
                <a:pt x="0" y="0"/>
              </a:moveTo>
              <a:lnTo>
                <a:pt x="40" y="0"/>
              </a:lnTo>
              <a:lnTo>
                <a:pt x="32" y="11"/>
              </a:lnTo>
              <a:lnTo>
                <a:pt x="4" y="11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470</xdr:row>
      <xdr:rowOff>114300</xdr:rowOff>
    </xdr:from>
    <xdr:to>
      <xdr:col>5</xdr:col>
      <xdr:colOff>314325</xdr:colOff>
      <xdr:row>471</xdr:row>
      <xdr:rowOff>0</xdr:rowOff>
    </xdr:to>
    <xdr:sp macro="" textlink="">
      <xdr:nvSpPr>
        <xdr:cNvPr id="339" name="Freeform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/>
        </xdr:cNvSpPr>
      </xdr:nvSpPr>
      <xdr:spPr bwMode="auto">
        <a:xfrm>
          <a:off x="3267075" y="95926275"/>
          <a:ext cx="247650" cy="85725"/>
        </a:xfrm>
        <a:custGeom>
          <a:avLst/>
          <a:gdLst>
            <a:gd name="T0" fmla="*/ 2147483647 w 26"/>
            <a:gd name="T1" fmla="*/ 0 h 9"/>
            <a:gd name="T2" fmla="*/ 2147483647 w 26"/>
            <a:gd name="T3" fmla="*/ 2147483647 h 9"/>
            <a:gd name="T4" fmla="*/ 2147483647 w 26"/>
            <a:gd name="T5" fmla="*/ 2147483647 h 9"/>
            <a:gd name="T6" fmla="*/ 0 w 26"/>
            <a:gd name="T7" fmla="*/ 2147483647 h 9"/>
            <a:gd name="T8" fmla="*/ 2147483647 w 26"/>
            <a:gd name="T9" fmla="*/ 0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6"/>
            <a:gd name="T16" fmla="*/ 0 h 9"/>
            <a:gd name="T17" fmla="*/ 26 w 26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6" h="9">
              <a:moveTo>
                <a:pt x="5" y="0"/>
              </a:moveTo>
              <a:lnTo>
                <a:pt x="26" y="1"/>
              </a:lnTo>
              <a:lnTo>
                <a:pt x="22" y="9"/>
              </a:lnTo>
              <a:lnTo>
                <a:pt x="0" y="8"/>
              </a:lnTo>
              <a:lnTo>
                <a:pt x="5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333375</xdr:colOff>
      <xdr:row>470</xdr:row>
      <xdr:rowOff>104775</xdr:rowOff>
    </xdr:from>
    <xdr:to>
      <xdr:col>5</xdr:col>
      <xdr:colOff>571500</xdr:colOff>
      <xdr:row>471</xdr:row>
      <xdr:rowOff>38100</xdr:rowOff>
    </xdr:to>
    <xdr:sp macro="" textlink="">
      <xdr:nvSpPr>
        <xdr:cNvPr id="340" name="Freeform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/>
        </xdr:cNvSpPr>
      </xdr:nvSpPr>
      <xdr:spPr bwMode="auto">
        <a:xfrm>
          <a:off x="3533775" y="95916750"/>
          <a:ext cx="238125" cy="133350"/>
        </a:xfrm>
        <a:custGeom>
          <a:avLst/>
          <a:gdLst>
            <a:gd name="T0" fmla="*/ 2147483647 w 25"/>
            <a:gd name="T1" fmla="*/ 0 h 14"/>
            <a:gd name="T2" fmla="*/ 2147483647 w 25"/>
            <a:gd name="T3" fmla="*/ 2147483647 h 14"/>
            <a:gd name="T4" fmla="*/ 2147483647 w 25"/>
            <a:gd name="T5" fmla="*/ 2147483647 h 14"/>
            <a:gd name="T6" fmla="*/ 0 w 25"/>
            <a:gd name="T7" fmla="*/ 2147483647 h 14"/>
            <a:gd name="T8" fmla="*/ 0 w 25"/>
            <a:gd name="T9" fmla="*/ 2147483647 h 14"/>
            <a:gd name="T10" fmla="*/ 2147483647 w 25"/>
            <a:gd name="T11" fmla="*/ 0 h 1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5"/>
            <a:gd name="T19" fmla="*/ 0 h 14"/>
            <a:gd name="T20" fmla="*/ 25 w 25"/>
            <a:gd name="T21" fmla="*/ 14 h 1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5" h="14">
              <a:moveTo>
                <a:pt x="8" y="0"/>
              </a:moveTo>
              <a:lnTo>
                <a:pt x="25" y="1"/>
              </a:lnTo>
              <a:lnTo>
                <a:pt x="24" y="14"/>
              </a:lnTo>
              <a:lnTo>
                <a:pt x="0" y="11"/>
              </a:lnTo>
              <a:lnTo>
                <a:pt x="0" y="1"/>
              </a:lnTo>
              <a:lnTo>
                <a:pt x="8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228600</xdr:colOff>
      <xdr:row>471</xdr:row>
      <xdr:rowOff>28575</xdr:rowOff>
    </xdr:from>
    <xdr:to>
      <xdr:col>5</xdr:col>
      <xdr:colOff>428625</xdr:colOff>
      <xdr:row>471</xdr:row>
      <xdr:rowOff>123825</xdr:rowOff>
    </xdr:to>
    <xdr:sp macro="" textlink="">
      <xdr:nvSpPr>
        <xdr:cNvPr id="341" name="Freeform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/>
        </xdr:cNvSpPr>
      </xdr:nvSpPr>
      <xdr:spPr bwMode="auto">
        <a:xfrm>
          <a:off x="3429000" y="96040575"/>
          <a:ext cx="200025" cy="95250"/>
        </a:xfrm>
        <a:custGeom>
          <a:avLst/>
          <a:gdLst>
            <a:gd name="T0" fmla="*/ 0 w 21"/>
            <a:gd name="T1" fmla="*/ 0 h 10"/>
            <a:gd name="T2" fmla="*/ 2147483647 w 21"/>
            <a:gd name="T3" fmla="*/ 2147483647 h 10"/>
            <a:gd name="T4" fmla="*/ 2147483647 w 21"/>
            <a:gd name="T5" fmla="*/ 2147483647 h 10"/>
            <a:gd name="T6" fmla="*/ 2147483647 w 21"/>
            <a:gd name="T7" fmla="*/ 2147483647 h 10"/>
            <a:gd name="T8" fmla="*/ 0 w 21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1"/>
            <a:gd name="T16" fmla="*/ 0 h 10"/>
            <a:gd name="T17" fmla="*/ 21 w 21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" h="10">
              <a:moveTo>
                <a:pt x="0" y="0"/>
              </a:moveTo>
              <a:lnTo>
                <a:pt x="21" y="1"/>
              </a:lnTo>
              <a:lnTo>
                <a:pt x="21" y="9"/>
              </a:lnTo>
              <a:lnTo>
                <a:pt x="3" y="1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447675</xdr:colOff>
      <xdr:row>471</xdr:row>
      <xdr:rowOff>28575</xdr:rowOff>
    </xdr:from>
    <xdr:to>
      <xdr:col>6</xdr:col>
      <xdr:colOff>47625</xdr:colOff>
      <xdr:row>471</xdr:row>
      <xdr:rowOff>142875</xdr:rowOff>
    </xdr:to>
    <xdr:sp macro="" textlink="">
      <xdr:nvSpPr>
        <xdr:cNvPr id="342" name="Freeform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/>
        </xdr:cNvSpPr>
      </xdr:nvSpPr>
      <xdr:spPr bwMode="auto">
        <a:xfrm>
          <a:off x="3648075" y="96040575"/>
          <a:ext cx="304800" cy="114300"/>
        </a:xfrm>
        <a:custGeom>
          <a:avLst/>
          <a:gdLst>
            <a:gd name="T0" fmla="*/ 2147483647 w 32"/>
            <a:gd name="T1" fmla="*/ 2147483647 h 12"/>
            <a:gd name="T2" fmla="*/ 2147483647 w 32"/>
            <a:gd name="T3" fmla="*/ 0 h 12"/>
            <a:gd name="T4" fmla="*/ 2147483647 w 32"/>
            <a:gd name="T5" fmla="*/ 2147483647 h 12"/>
            <a:gd name="T6" fmla="*/ 0 w 32"/>
            <a:gd name="T7" fmla="*/ 2147483647 h 12"/>
            <a:gd name="T8" fmla="*/ 2147483647 w 32"/>
            <a:gd name="T9" fmla="*/ 2147483647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2"/>
            <a:gd name="T16" fmla="*/ 0 h 12"/>
            <a:gd name="T17" fmla="*/ 32 w 32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2" h="12">
              <a:moveTo>
                <a:pt x="5" y="2"/>
              </a:moveTo>
              <a:lnTo>
                <a:pt x="32" y="0"/>
              </a:lnTo>
              <a:lnTo>
                <a:pt x="31" y="10"/>
              </a:lnTo>
              <a:lnTo>
                <a:pt x="0" y="12"/>
              </a:lnTo>
              <a:lnTo>
                <a:pt x="5" y="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470</xdr:row>
      <xdr:rowOff>104775</xdr:rowOff>
    </xdr:from>
    <xdr:to>
      <xdr:col>6</xdr:col>
      <xdr:colOff>190500</xdr:colOff>
      <xdr:row>471</xdr:row>
      <xdr:rowOff>0</xdr:rowOff>
    </xdr:to>
    <xdr:sp macro="" textlink="">
      <xdr:nvSpPr>
        <xdr:cNvPr id="343" name="Freeform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/>
        </xdr:cNvSpPr>
      </xdr:nvSpPr>
      <xdr:spPr bwMode="auto">
        <a:xfrm>
          <a:off x="3781425" y="95916750"/>
          <a:ext cx="314325" cy="95250"/>
        </a:xfrm>
        <a:custGeom>
          <a:avLst/>
          <a:gdLst>
            <a:gd name="T0" fmla="*/ 2147483647 w 33"/>
            <a:gd name="T1" fmla="*/ 0 h 10"/>
            <a:gd name="T2" fmla="*/ 2147483647 w 33"/>
            <a:gd name="T3" fmla="*/ 2147483647 h 10"/>
            <a:gd name="T4" fmla="*/ 2147483647 w 33"/>
            <a:gd name="T5" fmla="*/ 2147483647 h 10"/>
            <a:gd name="T6" fmla="*/ 0 w 33"/>
            <a:gd name="T7" fmla="*/ 2147483647 h 10"/>
            <a:gd name="T8" fmla="*/ 2147483647 w 33"/>
            <a:gd name="T9" fmla="*/ 2147483647 h 10"/>
            <a:gd name="T10" fmla="*/ 2147483647 w 33"/>
            <a:gd name="T11" fmla="*/ 0 h 1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3"/>
            <a:gd name="T19" fmla="*/ 0 h 10"/>
            <a:gd name="T20" fmla="*/ 33 w 33"/>
            <a:gd name="T21" fmla="*/ 10 h 1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3" h="10">
              <a:moveTo>
                <a:pt x="13" y="0"/>
              </a:moveTo>
              <a:lnTo>
                <a:pt x="33" y="1"/>
              </a:lnTo>
              <a:lnTo>
                <a:pt x="29" y="10"/>
              </a:lnTo>
              <a:lnTo>
                <a:pt x="0" y="9"/>
              </a:lnTo>
              <a:lnTo>
                <a:pt x="3" y="1"/>
              </a:lnTo>
              <a:lnTo>
                <a:pt x="13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469</xdr:row>
      <xdr:rowOff>180975</xdr:rowOff>
    </xdr:from>
    <xdr:to>
      <xdr:col>6</xdr:col>
      <xdr:colOff>352425</xdr:colOff>
      <xdr:row>470</xdr:row>
      <xdr:rowOff>114300</xdr:rowOff>
    </xdr:to>
    <xdr:sp macro="" textlink="">
      <xdr:nvSpPr>
        <xdr:cNvPr id="344" name="Freeform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/>
        </xdr:cNvSpPr>
      </xdr:nvSpPr>
      <xdr:spPr bwMode="auto">
        <a:xfrm>
          <a:off x="3914775" y="95792925"/>
          <a:ext cx="342900" cy="133350"/>
        </a:xfrm>
        <a:custGeom>
          <a:avLst/>
          <a:gdLst>
            <a:gd name="T0" fmla="*/ 2147483647 w 36"/>
            <a:gd name="T1" fmla="*/ 2147483647 h 14"/>
            <a:gd name="T2" fmla="*/ 2147483647 w 36"/>
            <a:gd name="T3" fmla="*/ 0 h 14"/>
            <a:gd name="T4" fmla="*/ 2147483647 w 36"/>
            <a:gd name="T5" fmla="*/ 2147483647 h 14"/>
            <a:gd name="T6" fmla="*/ 0 w 36"/>
            <a:gd name="T7" fmla="*/ 2147483647 h 14"/>
            <a:gd name="T8" fmla="*/ 2147483647 w 36"/>
            <a:gd name="T9" fmla="*/ 2147483647 h 1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6"/>
            <a:gd name="T16" fmla="*/ 0 h 14"/>
            <a:gd name="T17" fmla="*/ 36 w 36"/>
            <a:gd name="T18" fmla="*/ 14 h 1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6" h="14">
              <a:moveTo>
                <a:pt x="8" y="1"/>
              </a:moveTo>
              <a:lnTo>
                <a:pt x="36" y="0"/>
              </a:lnTo>
              <a:lnTo>
                <a:pt x="36" y="9"/>
              </a:lnTo>
              <a:lnTo>
                <a:pt x="0" y="14"/>
              </a:lnTo>
              <a:lnTo>
                <a:pt x="8" y="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470</xdr:row>
      <xdr:rowOff>152400</xdr:rowOff>
    </xdr:from>
    <xdr:to>
      <xdr:col>6</xdr:col>
      <xdr:colOff>466725</xdr:colOff>
      <xdr:row>471</xdr:row>
      <xdr:rowOff>66675</xdr:rowOff>
    </xdr:to>
    <xdr:sp macro="" textlink="">
      <xdr:nvSpPr>
        <xdr:cNvPr id="345" name="Freeform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/>
        </xdr:cNvSpPr>
      </xdr:nvSpPr>
      <xdr:spPr bwMode="auto">
        <a:xfrm>
          <a:off x="4086225" y="95964375"/>
          <a:ext cx="285750" cy="114300"/>
        </a:xfrm>
        <a:custGeom>
          <a:avLst/>
          <a:gdLst>
            <a:gd name="T0" fmla="*/ 2147483647 w 30"/>
            <a:gd name="T1" fmla="*/ 0 h 12"/>
            <a:gd name="T2" fmla="*/ 2147483647 w 30"/>
            <a:gd name="T3" fmla="*/ 0 h 12"/>
            <a:gd name="T4" fmla="*/ 2147483647 w 30"/>
            <a:gd name="T5" fmla="*/ 2147483647 h 12"/>
            <a:gd name="T6" fmla="*/ 0 w 30"/>
            <a:gd name="T7" fmla="*/ 2147483647 h 12"/>
            <a:gd name="T8" fmla="*/ 2147483647 w 30"/>
            <a:gd name="T9" fmla="*/ 0 h 1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0"/>
            <a:gd name="T16" fmla="*/ 0 h 12"/>
            <a:gd name="T17" fmla="*/ 30 w 30"/>
            <a:gd name="T18" fmla="*/ 12 h 12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0" h="12">
              <a:moveTo>
                <a:pt x="8" y="0"/>
              </a:moveTo>
              <a:lnTo>
                <a:pt x="30" y="0"/>
              </a:lnTo>
              <a:lnTo>
                <a:pt x="28" y="12"/>
              </a:lnTo>
              <a:lnTo>
                <a:pt x="0" y="9"/>
              </a:lnTo>
              <a:lnTo>
                <a:pt x="8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471</xdr:row>
      <xdr:rowOff>66675</xdr:rowOff>
    </xdr:from>
    <xdr:to>
      <xdr:col>6</xdr:col>
      <xdr:colOff>314325</xdr:colOff>
      <xdr:row>471</xdr:row>
      <xdr:rowOff>142875</xdr:rowOff>
    </xdr:to>
    <xdr:sp macro="" textlink="">
      <xdr:nvSpPr>
        <xdr:cNvPr id="346" name="Freeform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/>
        </xdr:cNvSpPr>
      </xdr:nvSpPr>
      <xdr:spPr bwMode="auto">
        <a:xfrm>
          <a:off x="3933825" y="96078675"/>
          <a:ext cx="285750" cy="76200"/>
        </a:xfrm>
        <a:custGeom>
          <a:avLst/>
          <a:gdLst>
            <a:gd name="T0" fmla="*/ 2147483647 w 30"/>
            <a:gd name="T1" fmla="*/ 0 h 8"/>
            <a:gd name="T2" fmla="*/ 2147483647 w 30"/>
            <a:gd name="T3" fmla="*/ 2147483647 h 8"/>
            <a:gd name="T4" fmla="*/ 0 w 30"/>
            <a:gd name="T5" fmla="*/ 2147483647 h 8"/>
            <a:gd name="T6" fmla="*/ 2147483647 w 30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30"/>
            <a:gd name="T13" fmla="*/ 0 h 8"/>
            <a:gd name="T14" fmla="*/ 30 w 30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0" h="8">
              <a:moveTo>
                <a:pt x="9" y="0"/>
              </a:moveTo>
              <a:lnTo>
                <a:pt x="30" y="1"/>
              </a:lnTo>
              <a:lnTo>
                <a:pt x="0" y="8"/>
              </a:lnTo>
              <a:lnTo>
                <a:pt x="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266700</xdr:colOff>
      <xdr:row>471</xdr:row>
      <xdr:rowOff>66675</xdr:rowOff>
    </xdr:from>
    <xdr:to>
      <xdr:col>6</xdr:col>
      <xdr:colOff>762000</xdr:colOff>
      <xdr:row>471</xdr:row>
      <xdr:rowOff>152400</xdr:rowOff>
    </xdr:to>
    <xdr:sp macro="" textlink="">
      <xdr:nvSpPr>
        <xdr:cNvPr id="347" name="Freeform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/>
        </xdr:cNvSpPr>
      </xdr:nvSpPr>
      <xdr:spPr bwMode="auto">
        <a:xfrm>
          <a:off x="4171950" y="96078675"/>
          <a:ext cx="495300" cy="85725"/>
        </a:xfrm>
        <a:custGeom>
          <a:avLst/>
          <a:gdLst>
            <a:gd name="T0" fmla="*/ 2147483647 w 52"/>
            <a:gd name="T1" fmla="*/ 2147483647 h 9"/>
            <a:gd name="T2" fmla="*/ 2147483647 w 52"/>
            <a:gd name="T3" fmla="*/ 2147483647 h 9"/>
            <a:gd name="T4" fmla="*/ 0 w 52"/>
            <a:gd name="T5" fmla="*/ 2147483647 h 9"/>
            <a:gd name="T6" fmla="*/ 0 w 52"/>
            <a:gd name="T7" fmla="*/ 0 h 9"/>
            <a:gd name="T8" fmla="*/ 2147483647 w 52"/>
            <a:gd name="T9" fmla="*/ 0 h 9"/>
            <a:gd name="T10" fmla="*/ 2147483647 w 52"/>
            <a:gd name="T11" fmla="*/ 2147483647 h 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2"/>
            <a:gd name="T19" fmla="*/ 0 h 9"/>
            <a:gd name="T20" fmla="*/ 52 w 52"/>
            <a:gd name="T21" fmla="*/ 9 h 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2" h="9">
              <a:moveTo>
                <a:pt x="11" y="1"/>
              </a:moveTo>
              <a:lnTo>
                <a:pt x="52" y="1"/>
              </a:lnTo>
              <a:lnTo>
                <a:pt x="0" y="9"/>
              </a:lnTo>
              <a:lnTo>
                <a:pt x="0" y="0"/>
              </a:lnTo>
              <a:lnTo>
                <a:pt x="20" y="0"/>
              </a:lnTo>
              <a:lnTo>
                <a:pt x="47" y="5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469</xdr:row>
      <xdr:rowOff>190500</xdr:rowOff>
    </xdr:from>
    <xdr:to>
      <xdr:col>6</xdr:col>
      <xdr:colOff>762000</xdr:colOff>
      <xdr:row>470</xdr:row>
      <xdr:rowOff>85725</xdr:rowOff>
    </xdr:to>
    <xdr:sp macro="" textlink="">
      <xdr:nvSpPr>
        <xdr:cNvPr id="348" name="Freeform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/>
        </xdr:cNvSpPr>
      </xdr:nvSpPr>
      <xdr:spPr bwMode="auto">
        <a:xfrm>
          <a:off x="4295775" y="95802450"/>
          <a:ext cx="371475" cy="95250"/>
        </a:xfrm>
        <a:custGeom>
          <a:avLst/>
          <a:gdLst>
            <a:gd name="T0" fmla="*/ 0 w 39"/>
            <a:gd name="T1" fmla="*/ 2147483647 h 10"/>
            <a:gd name="T2" fmla="*/ 2147483647 w 39"/>
            <a:gd name="T3" fmla="*/ 0 h 10"/>
            <a:gd name="T4" fmla="*/ 2147483647 w 39"/>
            <a:gd name="T5" fmla="*/ 2147483647 h 10"/>
            <a:gd name="T6" fmla="*/ 2147483647 w 39"/>
            <a:gd name="T7" fmla="*/ 2147483647 h 10"/>
            <a:gd name="T8" fmla="*/ 0 w 39"/>
            <a:gd name="T9" fmla="*/ 2147483647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9"/>
            <a:gd name="T16" fmla="*/ 0 h 10"/>
            <a:gd name="T17" fmla="*/ 39 w 39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9" h="10">
              <a:moveTo>
                <a:pt x="0" y="1"/>
              </a:moveTo>
              <a:lnTo>
                <a:pt x="39" y="0"/>
              </a:lnTo>
              <a:lnTo>
                <a:pt x="36" y="10"/>
              </a:lnTo>
              <a:lnTo>
                <a:pt x="10" y="1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470</xdr:row>
      <xdr:rowOff>142875</xdr:rowOff>
    </xdr:from>
    <xdr:to>
      <xdr:col>7</xdr:col>
      <xdr:colOff>47625</xdr:colOff>
      <xdr:row>471</xdr:row>
      <xdr:rowOff>66675</xdr:rowOff>
    </xdr:to>
    <xdr:sp macro="" textlink="">
      <xdr:nvSpPr>
        <xdr:cNvPr id="349" name="Freeform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/>
        </xdr:cNvSpPr>
      </xdr:nvSpPr>
      <xdr:spPr bwMode="auto">
        <a:xfrm>
          <a:off x="4429125" y="95954850"/>
          <a:ext cx="295275" cy="123825"/>
        </a:xfrm>
        <a:custGeom>
          <a:avLst/>
          <a:gdLst>
            <a:gd name="T0" fmla="*/ 0 w 31"/>
            <a:gd name="T1" fmla="*/ 0 h 13"/>
            <a:gd name="T2" fmla="*/ 2147483647 w 31"/>
            <a:gd name="T3" fmla="*/ 0 h 13"/>
            <a:gd name="T4" fmla="*/ 2147483647 w 31"/>
            <a:gd name="T5" fmla="*/ 2147483647 h 13"/>
            <a:gd name="T6" fmla="*/ 0 w 31"/>
            <a:gd name="T7" fmla="*/ 2147483647 h 13"/>
            <a:gd name="T8" fmla="*/ 0 w 31"/>
            <a:gd name="T9" fmla="*/ 0 h 1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1"/>
            <a:gd name="T16" fmla="*/ 0 h 13"/>
            <a:gd name="T17" fmla="*/ 31 w 31"/>
            <a:gd name="T18" fmla="*/ 13 h 13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1" h="13">
              <a:moveTo>
                <a:pt x="0" y="0"/>
              </a:moveTo>
              <a:lnTo>
                <a:pt x="31" y="0"/>
              </a:lnTo>
              <a:lnTo>
                <a:pt x="30" y="13"/>
              </a:lnTo>
              <a:lnTo>
                <a:pt x="0" y="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469</xdr:row>
      <xdr:rowOff>180975</xdr:rowOff>
    </xdr:from>
    <xdr:to>
      <xdr:col>7</xdr:col>
      <xdr:colOff>390525</xdr:colOff>
      <xdr:row>470</xdr:row>
      <xdr:rowOff>142875</xdr:rowOff>
    </xdr:to>
    <xdr:sp macro="" textlink="">
      <xdr:nvSpPr>
        <xdr:cNvPr id="350" name="Freeform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/>
        </xdr:cNvSpPr>
      </xdr:nvSpPr>
      <xdr:spPr bwMode="auto">
        <a:xfrm>
          <a:off x="4686300" y="95792925"/>
          <a:ext cx="381000" cy="161925"/>
        </a:xfrm>
        <a:custGeom>
          <a:avLst/>
          <a:gdLst>
            <a:gd name="T0" fmla="*/ 2147483647 w 40"/>
            <a:gd name="T1" fmla="*/ 0 h 17"/>
            <a:gd name="T2" fmla="*/ 2147483647 w 40"/>
            <a:gd name="T3" fmla="*/ 2147483647 h 17"/>
            <a:gd name="T4" fmla="*/ 2147483647 w 40"/>
            <a:gd name="T5" fmla="*/ 2147483647 h 17"/>
            <a:gd name="T6" fmla="*/ 0 w 40"/>
            <a:gd name="T7" fmla="*/ 2147483647 h 17"/>
            <a:gd name="T8" fmla="*/ 2147483647 w 40"/>
            <a:gd name="T9" fmla="*/ 0 h 1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"/>
            <a:gd name="T16" fmla="*/ 0 h 17"/>
            <a:gd name="T17" fmla="*/ 40 w 40"/>
            <a:gd name="T18" fmla="*/ 17 h 17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" h="17">
              <a:moveTo>
                <a:pt x="4" y="0"/>
              </a:moveTo>
              <a:lnTo>
                <a:pt x="40" y="2"/>
              </a:lnTo>
              <a:lnTo>
                <a:pt x="39" y="17"/>
              </a:lnTo>
              <a:lnTo>
                <a:pt x="0" y="1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470</xdr:row>
      <xdr:rowOff>180975</xdr:rowOff>
    </xdr:from>
    <xdr:to>
      <xdr:col>7</xdr:col>
      <xdr:colOff>542925</xdr:colOff>
      <xdr:row>471</xdr:row>
      <xdr:rowOff>76200</xdr:rowOff>
    </xdr:to>
    <xdr:sp macro="" textlink="">
      <xdr:nvSpPr>
        <xdr:cNvPr id="351" name="Freeform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/>
        </xdr:cNvSpPr>
      </xdr:nvSpPr>
      <xdr:spPr bwMode="auto">
        <a:xfrm>
          <a:off x="4714875" y="95992950"/>
          <a:ext cx="504825" cy="95250"/>
        </a:xfrm>
        <a:custGeom>
          <a:avLst/>
          <a:gdLst>
            <a:gd name="T0" fmla="*/ 2147483647 w 53"/>
            <a:gd name="T1" fmla="*/ 0 h 10"/>
            <a:gd name="T2" fmla="*/ 2147483647 w 53"/>
            <a:gd name="T3" fmla="*/ 0 h 10"/>
            <a:gd name="T4" fmla="*/ 2147483647 w 53"/>
            <a:gd name="T5" fmla="*/ 2147483647 h 10"/>
            <a:gd name="T6" fmla="*/ 2147483647 w 53"/>
            <a:gd name="T7" fmla="*/ 2147483647 h 10"/>
            <a:gd name="T8" fmla="*/ 0 w 53"/>
            <a:gd name="T9" fmla="*/ 2147483647 h 10"/>
            <a:gd name="T10" fmla="*/ 2147483647 w 53"/>
            <a:gd name="T11" fmla="*/ 0 h 1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3"/>
            <a:gd name="T19" fmla="*/ 0 h 10"/>
            <a:gd name="T20" fmla="*/ 53 w 53"/>
            <a:gd name="T21" fmla="*/ 10 h 1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3" h="10">
              <a:moveTo>
                <a:pt x="12" y="0"/>
              </a:moveTo>
              <a:lnTo>
                <a:pt x="53" y="0"/>
              </a:lnTo>
              <a:lnTo>
                <a:pt x="40" y="10"/>
              </a:lnTo>
              <a:lnTo>
                <a:pt x="15" y="9"/>
              </a:lnTo>
              <a:lnTo>
                <a:pt x="0" y="5"/>
              </a:lnTo>
              <a:lnTo>
                <a:pt x="12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428625</xdr:colOff>
      <xdr:row>469</xdr:row>
      <xdr:rowOff>180975</xdr:rowOff>
    </xdr:from>
    <xdr:to>
      <xdr:col>8</xdr:col>
      <xdr:colOff>0</xdr:colOff>
      <xdr:row>470</xdr:row>
      <xdr:rowOff>76200</xdr:rowOff>
    </xdr:to>
    <xdr:sp macro="" textlink="">
      <xdr:nvSpPr>
        <xdr:cNvPr id="352" name="Freeform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/>
        </xdr:cNvSpPr>
      </xdr:nvSpPr>
      <xdr:spPr bwMode="auto">
        <a:xfrm>
          <a:off x="5105400" y="95792925"/>
          <a:ext cx="219075" cy="95250"/>
        </a:xfrm>
        <a:custGeom>
          <a:avLst/>
          <a:gdLst>
            <a:gd name="T0" fmla="*/ 0 w 23"/>
            <a:gd name="T1" fmla="*/ 0 h 10"/>
            <a:gd name="T2" fmla="*/ 2147483647 w 23"/>
            <a:gd name="T3" fmla="*/ 2147483647 h 10"/>
            <a:gd name="T4" fmla="*/ 2147483647 w 23"/>
            <a:gd name="T5" fmla="*/ 2147483647 h 10"/>
            <a:gd name="T6" fmla="*/ 2147483647 w 23"/>
            <a:gd name="T7" fmla="*/ 2147483647 h 10"/>
            <a:gd name="T8" fmla="*/ 0 w 23"/>
            <a:gd name="T9" fmla="*/ 0 h 1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3"/>
            <a:gd name="T16" fmla="*/ 0 h 10"/>
            <a:gd name="T17" fmla="*/ 23 w 23"/>
            <a:gd name="T18" fmla="*/ 10 h 1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3" h="10">
              <a:moveTo>
                <a:pt x="0" y="0"/>
              </a:moveTo>
              <a:lnTo>
                <a:pt x="23" y="3"/>
              </a:lnTo>
              <a:lnTo>
                <a:pt x="18" y="10"/>
              </a:lnTo>
              <a:lnTo>
                <a:pt x="4" y="1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561975</xdr:colOff>
      <xdr:row>470</xdr:row>
      <xdr:rowOff>85725</xdr:rowOff>
    </xdr:from>
    <xdr:to>
      <xdr:col>8</xdr:col>
      <xdr:colOff>104775</xdr:colOff>
      <xdr:row>471</xdr:row>
      <xdr:rowOff>28575</xdr:rowOff>
    </xdr:to>
    <xdr:sp macro="" textlink="">
      <xdr:nvSpPr>
        <xdr:cNvPr id="353" name="Freeform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/>
        </xdr:cNvSpPr>
      </xdr:nvSpPr>
      <xdr:spPr bwMode="auto">
        <a:xfrm>
          <a:off x="5238750" y="95897700"/>
          <a:ext cx="190500" cy="142875"/>
        </a:xfrm>
        <a:custGeom>
          <a:avLst/>
          <a:gdLst>
            <a:gd name="T0" fmla="*/ 0 w 20"/>
            <a:gd name="T1" fmla="*/ 0 h 15"/>
            <a:gd name="T2" fmla="*/ 2147483647 w 20"/>
            <a:gd name="T3" fmla="*/ 0 h 15"/>
            <a:gd name="T4" fmla="*/ 2147483647 w 20"/>
            <a:gd name="T5" fmla="*/ 2147483647 h 15"/>
            <a:gd name="T6" fmla="*/ 2147483647 w 20"/>
            <a:gd name="T7" fmla="*/ 2147483647 h 15"/>
            <a:gd name="T8" fmla="*/ 0 w 20"/>
            <a:gd name="T9" fmla="*/ 0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20"/>
            <a:gd name="T16" fmla="*/ 0 h 15"/>
            <a:gd name="T17" fmla="*/ 20 w 20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0" h="15">
              <a:moveTo>
                <a:pt x="0" y="0"/>
              </a:moveTo>
              <a:lnTo>
                <a:pt x="20" y="0"/>
              </a:lnTo>
              <a:lnTo>
                <a:pt x="16" y="15"/>
              </a:lnTo>
              <a:lnTo>
                <a:pt x="5" y="11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471</xdr:row>
      <xdr:rowOff>66675</xdr:rowOff>
    </xdr:from>
    <xdr:to>
      <xdr:col>7</xdr:col>
      <xdr:colOff>304800</xdr:colOff>
      <xdr:row>471</xdr:row>
      <xdr:rowOff>123825</xdr:rowOff>
    </xdr:to>
    <xdr:sp macro="" textlink="">
      <xdr:nvSpPr>
        <xdr:cNvPr id="354" name="Freeform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/>
        </xdr:cNvSpPr>
      </xdr:nvSpPr>
      <xdr:spPr bwMode="auto">
        <a:xfrm>
          <a:off x="4686300" y="96078675"/>
          <a:ext cx="295275" cy="57150"/>
        </a:xfrm>
        <a:custGeom>
          <a:avLst/>
          <a:gdLst>
            <a:gd name="T0" fmla="*/ 2147483647 w 31"/>
            <a:gd name="T1" fmla="*/ 0 h 6"/>
            <a:gd name="T2" fmla="*/ 2147483647 w 31"/>
            <a:gd name="T3" fmla="*/ 2147483647 h 6"/>
            <a:gd name="T4" fmla="*/ 0 w 31"/>
            <a:gd name="T5" fmla="*/ 2147483647 h 6"/>
            <a:gd name="T6" fmla="*/ 2147483647 w 31"/>
            <a:gd name="T7" fmla="*/ 0 h 6"/>
            <a:gd name="T8" fmla="*/ 0 60000 65536"/>
            <a:gd name="T9" fmla="*/ 0 60000 65536"/>
            <a:gd name="T10" fmla="*/ 0 60000 65536"/>
            <a:gd name="T11" fmla="*/ 0 60000 65536"/>
            <a:gd name="T12" fmla="*/ 0 w 31"/>
            <a:gd name="T13" fmla="*/ 0 h 6"/>
            <a:gd name="T14" fmla="*/ 31 w 31"/>
            <a:gd name="T15" fmla="*/ 6 h 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1" h="6">
              <a:moveTo>
                <a:pt x="8" y="0"/>
              </a:moveTo>
              <a:lnTo>
                <a:pt x="31" y="5"/>
              </a:lnTo>
              <a:lnTo>
                <a:pt x="0" y="6"/>
              </a:lnTo>
              <a:lnTo>
                <a:pt x="8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304800</xdr:colOff>
      <xdr:row>471</xdr:row>
      <xdr:rowOff>76200</xdr:rowOff>
    </xdr:from>
    <xdr:to>
      <xdr:col>7</xdr:col>
      <xdr:colOff>619125</xdr:colOff>
      <xdr:row>471</xdr:row>
      <xdr:rowOff>152400</xdr:rowOff>
    </xdr:to>
    <xdr:sp macro="" textlink="">
      <xdr:nvSpPr>
        <xdr:cNvPr id="355" name="Freeform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/>
        </xdr:cNvSpPr>
      </xdr:nvSpPr>
      <xdr:spPr bwMode="auto">
        <a:xfrm>
          <a:off x="4981575" y="96088200"/>
          <a:ext cx="314325" cy="76200"/>
        </a:xfrm>
        <a:custGeom>
          <a:avLst/>
          <a:gdLst>
            <a:gd name="T0" fmla="*/ 2147483647 w 33"/>
            <a:gd name="T1" fmla="*/ 0 h 8"/>
            <a:gd name="T2" fmla="*/ 2147483647 w 33"/>
            <a:gd name="T3" fmla="*/ 2147483647 h 8"/>
            <a:gd name="T4" fmla="*/ 2147483647 w 33"/>
            <a:gd name="T5" fmla="*/ 2147483647 h 8"/>
            <a:gd name="T6" fmla="*/ 0 w 33"/>
            <a:gd name="T7" fmla="*/ 2147483647 h 8"/>
            <a:gd name="T8" fmla="*/ 2147483647 w 33"/>
            <a:gd name="T9" fmla="*/ 0 h 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3"/>
            <a:gd name="T16" fmla="*/ 0 h 8"/>
            <a:gd name="T17" fmla="*/ 33 w 33"/>
            <a:gd name="T18" fmla="*/ 8 h 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3" h="8">
              <a:moveTo>
                <a:pt x="7" y="0"/>
              </a:moveTo>
              <a:lnTo>
                <a:pt x="33" y="4"/>
              </a:lnTo>
              <a:lnTo>
                <a:pt x="20" y="8"/>
              </a:lnTo>
              <a:lnTo>
                <a:pt x="0" y="5"/>
              </a:lnTo>
              <a:lnTo>
                <a:pt x="7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609600</xdr:colOff>
      <xdr:row>471</xdr:row>
      <xdr:rowOff>28575</xdr:rowOff>
    </xdr:from>
    <xdr:to>
      <xdr:col>8</xdr:col>
      <xdr:colOff>161925</xdr:colOff>
      <xdr:row>471</xdr:row>
      <xdr:rowOff>152400</xdr:rowOff>
    </xdr:to>
    <xdr:sp macro="" textlink="">
      <xdr:nvSpPr>
        <xdr:cNvPr id="356" name="Freeform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/>
        </xdr:cNvSpPr>
      </xdr:nvSpPr>
      <xdr:spPr bwMode="auto">
        <a:xfrm>
          <a:off x="5286375" y="96040575"/>
          <a:ext cx="200025" cy="123825"/>
        </a:xfrm>
        <a:custGeom>
          <a:avLst/>
          <a:gdLst>
            <a:gd name="T0" fmla="*/ 0 w 21"/>
            <a:gd name="T1" fmla="*/ 0 h 13"/>
            <a:gd name="T2" fmla="*/ 2147483647 w 21"/>
            <a:gd name="T3" fmla="*/ 2147483647 h 13"/>
            <a:gd name="T4" fmla="*/ 2147483647 w 21"/>
            <a:gd name="T5" fmla="*/ 2147483647 h 13"/>
            <a:gd name="T6" fmla="*/ 2147483647 w 21"/>
            <a:gd name="T7" fmla="*/ 2147483647 h 13"/>
            <a:gd name="T8" fmla="*/ 2147483647 w 21"/>
            <a:gd name="T9" fmla="*/ 2147483647 h 13"/>
            <a:gd name="T10" fmla="*/ 0 w 21"/>
            <a:gd name="T11" fmla="*/ 0 h 1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1"/>
            <a:gd name="T19" fmla="*/ 0 h 13"/>
            <a:gd name="T20" fmla="*/ 21 w 21"/>
            <a:gd name="T21" fmla="*/ 13 h 1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" h="13">
              <a:moveTo>
                <a:pt x="0" y="0"/>
              </a:moveTo>
              <a:lnTo>
                <a:pt x="21" y="4"/>
              </a:lnTo>
              <a:lnTo>
                <a:pt x="20" y="12"/>
              </a:lnTo>
              <a:lnTo>
                <a:pt x="9" y="13"/>
              </a:lnTo>
              <a:lnTo>
                <a:pt x="1" y="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542925</xdr:colOff>
      <xdr:row>473</xdr:row>
      <xdr:rowOff>152400</xdr:rowOff>
    </xdr:from>
    <xdr:to>
      <xdr:col>1</xdr:col>
      <xdr:colOff>561975</xdr:colOff>
      <xdr:row>473</xdr:row>
      <xdr:rowOff>171450</xdr:rowOff>
    </xdr:to>
    <xdr:sp macro="" textlink="">
      <xdr:nvSpPr>
        <xdr:cNvPr id="357" name="Oval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9535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474</xdr:row>
      <xdr:rowOff>38100</xdr:rowOff>
    </xdr:from>
    <xdr:to>
      <xdr:col>1</xdr:col>
      <xdr:colOff>590550</xdr:colOff>
      <xdr:row>474</xdr:row>
      <xdr:rowOff>57150</xdr:rowOff>
    </xdr:to>
    <xdr:sp macro="" textlink="">
      <xdr:nvSpPr>
        <xdr:cNvPr id="358" name="Oval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923925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600075</xdr:colOff>
      <xdr:row>473</xdr:row>
      <xdr:rowOff>152400</xdr:rowOff>
    </xdr:from>
    <xdr:to>
      <xdr:col>1</xdr:col>
      <xdr:colOff>619125</xdr:colOff>
      <xdr:row>473</xdr:row>
      <xdr:rowOff>171450</xdr:rowOff>
    </xdr:to>
    <xdr:sp macro="" textlink="">
      <xdr:nvSpPr>
        <xdr:cNvPr id="359" name="Oval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95250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657225</xdr:colOff>
      <xdr:row>473</xdr:row>
      <xdr:rowOff>190500</xdr:rowOff>
    </xdr:from>
    <xdr:to>
      <xdr:col>1</xdr:col>
      <xdr:colOff>676275</xdr:colOff>
      <xdr:row>474</xdr:row>
      <xdr:rowOff>9525</xdr:rowOff>
    </xdr:to>
    <xdr:sp macro="" textlink="">
      <xdr:nvSpPr>
        <xdr:cNvPr id="360" name="Oval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638175</xdr:colOff>
      <xdr:row>474</xdr:row>
      <xdr:rowOff>104775</xdr:rowOff>
    </xdr:from>
    <xdr:to>
      <xdr:col>1</xdr:col>
      <xdr:colOff>657225</xdr:colOff>
      <xdr:row>474</xdr:row>
      <xdr:rowOff>123825</xdr:rowOff>
    </xdr:to>
    <xdr:sp macro="" textlink="">
      <xdr:nvSpPr>
        <xdr:cNvPr id="361" name="Oval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99060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714375</xdr:colOff>
      <xdr:row>474</xdr:row>
      <xdr:rowOff>76200</xdr:rowOff>
    </xdr:from>
    <xdr:to>
      <xdr:col>1</xdr:col>
      <xdr:colOff>733425</xdr:colOff>
      <xdr:row>474</xdr:row>
      <xdr:rowOff>95250</xdr:rowOff>
    </xdr:to>
    <xdr:sp macro="" textlink="">
      <xdr:nvSpPr>
        <xdr:cNvPr id="362" name="Oval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688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733425</xdr:colOff>
      <xdr:row>473</xdr:row>
      <xdr:rowOff>180975</xdr:rowOff>
    </xdr:from>
    <xdr:to>
      <xdr:col>2</xdr:col>
      <xdr:colOff>9525</xdr:colOff>
      <xdr:row>474</xdr:row>
      <xdr:rowOff>0</xdr:rowOff>
    </xdr:to>
    <xdr:sp macro="" textlink="">
      <xdr:nvSpPr>
        <xdr:cNvPr id="363" name="Oval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65930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473</xdr:row>
      <xdr:rowOff>161925</xdr:rowOff>
    </xdr:from>
    <xdr:to>
      <xdr:col>2</xdr:col>
      <xdr:colOff>123825</xdr:colOff>
      <xdr:row>473</xdr:row>
      <xdr:rowOff>180975</xdr:rowOff>
    </xdr:to>
    <xdr:sp macro="" textlink="">
      <xdr:nvSpPr>
        <xdr:cNvPr id="364" name="Oval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0015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474</xdr:row>
      <xdr:rowOff>114300</xdr:rowOff>
    </xdr:from>
    <xdr:to>
      <xdr:col>2</xdr:col>
      <xdr:colOff>57150</xdr:colOff>
      <xdr:row>474</xdr:row>
      <xdr:rowOff>133350</xdr:rowOff>
    </xdr:to>
    <xdr:sp macro="" textlink="">
      <xdr:nvSpPr>
        <xdr:cNvPr id="365" name="Oval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474</xdr:row>
      <xdr:rowOff>47625</xdr:rowOff>
    </xdr:from>
    <xdr:to>
      <xdr:col>2</xdr:col>
      <xdr:colOff>57150</xdr:colOff>
      <xdr:row>474</xdr:row>
      <xdr:rowOff>66675</xdr:rowOff>
    </xdr:to>
    <xdr:sp macro="" textlink="">
      <xdr:nvSpPr>
        <xdr:cNvPr id="366" name="Oval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133475" y="96659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474</xdr:row>
      <xdr:rowOff>28575</xdr:rowOff>
    </xdr:from>
    <xdr:to>
      <xdr:col>2</xdr:col>
      <xdr:colOff>161925</xdr:colOff>
      <xdr:row>474</xdr:row>
      <xdr:rowOff>47625</xdr:rowOff>
    </xdr:to>
    <xdr:sp macro="" textlink="">
      <xdr:nvSpPr>
        <xdr:cNvPr id="367" name="Oval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382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474</xdr:row>
      <xdr:rowOff>123825</xdr:rowOff>
    </xdr:from>
    <xdr:to>
      <xdr:col>2</xdr:col>
      <xdr:colOff>133350</xdr:colOff>
      <xdr:row>474</xdr:row>
      <xdr:rowOff>142875</xdr:rowOff>
    </xdr:to>
    <xdr:sp macro="" textlink="">
      <xdr:nvSpPr>
        <xdr:cNvPr id="368" name="Oval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09675" y="967359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473</xdr:row>
      <xdr:rowOff>161925</xdr:rowOff>
    </xdr:from>
    <xdr:to>
      <xdr:col>2</xdr:col>
      <xdr:colOff>209550</xdr:colOff>
      <xdr:row>473</xdr:row>
      <xdr:rowOff>180975</xdr:rowOff>
    </xdr:to>
    <xdr:sp macro="" textlink="">
      <xdr:nvSpPr>
        <xdr:cNvPr id="369" name="Oval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85875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219075</xdr:colOff>
      <xdr:row>474</xdr:row>
      <xdr:rowOff>104775</xdr:rowOff>
    </xdr:from>
    <xdr:to>
      <xdr:col>2</xdr:col>
      <xdr:colOff>238125</xdr:colOff>
      <xdr:row>474</xdr:row>
      <xdr:rowOff>123825</xdr:rowOff>
    </xdr:to>
    <xdr:sp macro="" textlink="">
      <xdr:nvSpPr>
        <xdr:cNvPr id="370" name="Oval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31445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474</xdr:row>
      <xdr:rowOff>38100</xdr:rowOff>
    </xdr:from>
    <xdr:to>
      <xdr:col>2</xdr:col>
      <xdr:colOff>247650</xdr:colOff>
      <xdr:row>474</xdr:row>
      <xdr:rowOff>57150</xdr:rowOff>
    </xdr:to>
    <xdr:sp macro="" textlink="">
      <xdr:nvSpPr>
        <xdr:cNvPr id="371" name="Oval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733425</xdr:colOff>
      <xdr:row>473</xdr:row>
      <xdr:rowOff>161925</xdr:rowOff>
    </xdr:from>
    <xdr:to>
      <xdr:col>2</xdr:col>
      <xdr:colOff>9525</xdr:colOff>
      <xdr:row>473</xdr:row>
      <xdr:rowOff>180975</xdr:rowOff>
    </xdr:to>
    <xdr:sp macro="" textlink="">
      <xdr:nvSpPr>
        <xdr:cNvPr id="372" name="Oval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473</xdr:row>
      <xdr:rowOff>161925</xdr:rowOff>
    </xdr:from>
    <xdr:to>
      <xdr:col>2</xdr:col>
      <xdr:colOff>66675</xdr:colOff>
      <xdr:row>473</xdr:row>
      <xdr:rowOff>180975</xdr:rowOff>
    </xdr:to>
    <xdr:sp macro="" textlink="">
      <xdr:nvSpPr>
        <xdr:cNvPr id="373" name="Oval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14300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474</xdr:row>
      <xdr:rowOff>114300</xdr:rowOff>
    </xdr:from>
    <xdr:to>
      <xdr:col>2</xdr:col>
      <xdr:colOff>104775</xdr:colOff>
      <xdr:row>474</xdr:row>
      <xdr:rowOff>133350</xdr:rowOff>
    </xdr:to>
    <xdr:sp macro="" textlink="">
      <xdr:nvSpPr>
        <xdr:cNvPr id="374" name="Oval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295275</xdr:colOff>
      <xdr:row>473</xdr:row>
      <xdr:rowOff>171450</xdr:rowOff>
    </xdr:from>
    <xdr:to>
      <xdr:col>2</xdr:col>
      <xdr:colOff>314325</xdr:colOff>
      <xdr:row>473</xdr:row>
      <xdr:rowOff>190500</xdr:rowOff>
    </xdr:to>
    <xdr:sp macro="" textlink="">
      <xdr:nvSpPr>
        <xdr:cNvPr id="375" name="Oval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390650" y="96583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474</xdr:row>
      <xdr:rowOff>123825</xdr:rowOff>
    </xdr:from>
    <xdr:to>
      <xdr:col>2</xdr:col>
      <xdr:colOff>247650</xdr:colOff>
      <xdr:row>474</xdr:row>
      <xdr:rowOff>142875</xdr:rowOff>
    </xdr:to>
    <xdr:sp macro="" textlink="">
      <xdr:nvSpPr>
        <xdr:cNvPr id="376" name="Oval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967359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473</xdr:row>
      <xdr:rowOff>171450</xdr:rowOff>
    </xdr:from>
    <xdr:to>
      <xdr:col>2</xdr:col>
      <xdr:colOff>400050</xdr:colOff>
      <xdr:row>473</xdr:row>
      <xdr:rowOff>190500</xdr:rowOff>
    </xdr:to>
    <xdr:sp macro="" textlink="">
      <xdr:nvSpPr>
        <xdr:cNvPr id="377" name="Oval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476375" y="96583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409575</xdr:colOff>
      <xdr:row>474</xdr:row>
      <xdr:rowOff>114300</xdr:rowOff>
    </xdr:from>
    <xdr:to>
      <xdr:col>2</xdr:col>
      <xdr:colOff>428625</xdr:colOff>
      <xdr:row>474</xdr:row>
      <xdr:rowOff>133350</xdr:rowOff>
    </xdr:to>
    <xdr:sp macro="" textlink="">
      <xdr:nvSpPr>
        <xdr:cNvPr id="378" name="Oval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50495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238125</xdr:colOff>
      <xdr:row>473</xdr:row>
      <xdr:rowOff>114300</xdr:rowOff>
    </xdr:from>
    <xdr:to>
      <xdr:col>2</xdr:col>
      <xdr:colOff>257175</xdr:colOff>
      <xdr:row>473</xdr:row>
      <xdr:rowOff>133350</xdr:rowOff>
    </xdr:to>
    <xdr:sp macro="" textlink="">
      <xdr:nvSpPr>
        <xdr:cNvPr id="379" name="Oval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295275</xdr:colOff>
      <xdr:row>473</xdr:row>
      <xdr:rowOff>114300</xdr:rowOff>
    </xdr:from>
    <xdr:to>
      <xdr:col>2</xdr:col>
      <xdr:colOff>314325</xdr:colOff>
      <xdr:row>473</xdr:row>
      <xdr:rowOff>133350</xdr:rowOff>
    </xdr:to>
    <xdr:sp macro="" textlink="">
      <xdr:nvSpPr>
        <xdr:cNvPr id="380" name="Oval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39065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333375</xdr:colOff>
      <xdr:row>474</xdr:row>
      <xdr:rowOff>66675</xdr:rowOff>
    </xdr:from>
    <xdr:to>
      <xdr:col>2</xdr:col>
      <xdr:colOff>352425</xdr:colOff>
      <xdr:row>474</xdr:row>
      <xdr:rowOff>85725</xdr:rowOff>
    </xdr:to>
    <xdr:sp macro="" textlink="">
      <xdr:nvSpPr>
        <xdr:cNvPr id="381" name="Oval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542925</xdr:colOff>
      <xdr:row>473</xdr:row>
      <xdr:rowOff>123825</xdr:rowOff>
    </xdr:from>
    <xdr:to>
      <xdr:col>2</xdr:col>
      <xdr:colOff>561975</xdr:colOff>
      <xdr:row>473</xdr:row>
      <xdr:rowOff>142875</xdr:rowOff>
    </xdr:to>
    <xdr:sp macro="" textlink="">
      <xdr:nvSpPr>
        <xdr:cNvPr id="382" name="Oval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474</xdr:row>
      <xdr:rowOff>76200</xdr:rowOff>
    </xdr:from>
    <xdr:to>
      <xdr:col>2</xdr:col>
      <xdr:colOff>495300</xdr:colOff>
      <xdr:row>474</xdr:row>
      <xdr:rowOff>95250</xdr:rowOff>
    </xdr:to>
    <xdr:sp macro="" textlink="">
      <xdr:nvSpPr>
        <xdr:cNvPr id="383" name="Oval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571625" y="96688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628650</xdr:colOff>
      <xdr:row>473</xdr:row>
      <xdr:rowOff>123825</xdr:rowOff>
    </xdr:from>
    <xdr:to>
      <xdr:col>2</xdr:col>
      <xdr:colOff>647700</xdr:colOff>
      <xdr:row>473</xdr:row>
      <xdr:rowOff>142875</xdr:rowOff>
    </xdr:to>
    <xdr:sp macro="" textlink="">
      <xdr:nvSpPr>
        <xdr:cNvPr id="384" name="Oval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724025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657225</xdr:colOff>
      <xdr:row>474</xdr:row>
      <xdr:rowOff>66675</xdr:rowOff>
    </xdr:from>
    <xdr:to>
      <xdr:col>2</xdr:col>
      <xdr:colOff>676275</xdr:colOff>
      <xdr:row>474</xdr:row>
      <xdr:rowOff>85725</xdr:rowOff>
    </xdr:to>
    <xdr:sp macro="" textlink="">
      <xdr:nvSpPr>
        <xdr:cNvPr id="385" name="Oval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75260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473</xdr:row>
      <xdr:rowOff>152400</xdr:rowOff>
    </xdr:from>
    <xdr:to>
      <xdr:col>2</xdr:col>
      <xdr:colOff>638175</xdr:colOff>
      <xdr:row>473</xdr:row>
      <xdr:rowOff>171450</xdr:rowOff>
    </xdr:to>
    <xdr:sp macro="" textlink="">
      <xdr:nvSpPr>
        <xdr:cNvPr id="386" name="Oval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71450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676275</xdr:colOff>
      <xdr:row>473</xdr:row>
      <xdr:rowOff>152400</xdr:rowOff>
    </xdr:from>
    <xdr:to>
      <xdr:col>2</xdr:col>
      <xdr:colOff>695325</xdr:colOff>
      <xdr:row>473</xdr:row>
      <xdr:rowOff>171450</xdr:rowOff>
    </xdr:to>
    <xdr:sp macro="" textlink="">
      <xdr:nvSpPr>
        <xdr:cNvPr id="387" name="Oval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714375</xdr:colOff>
      <xdr:row>474</xdr:row>
      <xdr:rowOff>104775</xdr:rowOff>
    </xdr:from>
    <xdr:to>
      <xdr:col>2</xdr:col>
      <xdr:colOff>733425</xdr:colOff>
      <xdr:row>474</xdr:row>
      <xdr:rowOff>123825</xdr:rowOff>
    </xdr:to>
    <xdr:sp macro="" textlink="">
      <xdr:nvSpPr>
        <xdr:cNvPr id="388" name="Oval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473</xdr:row>
      <xdr:rowOff>161925</xdr:rowOff>
    </xdr:from>
    <xdr:to>
      <xdr:col>3</xdr:col>
      <xdr:colOff>114300</xdr:colOff>
      <xdr:row>473</xdr:row>
      <xdr:rowOff>180975</xdr:rowOff>
    </xdr:to>
    <xdr:sp macro="" textlink="">
      <xdr:nvSpPr>
        <xdr:cNvPr id="389" name="Oval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01930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474</xdr:row>
      <xdr:rowOff>114300</xdr:rowOff>
    </xdr:from>
    <xdr:to>
      <xdr:col>3</xdr:col>
      <xdr:colOff>47625</xdr:colOff>
      <xdr:row>474</xdr:row>
      <xdr:rowOff>133350</xdr:rowOff>
    </xdr:to>
    <xdr:sp macro="" textlink="">
      <xdr:nvSpPr>
        <xdr:cNvPr id="390" name="Oval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952625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180975</xdr:colOff>
      <xdr:row>473</xdr:row>
      <xdr:rowOff>161925</xdr:rowOff>
    </xdr:from>
    <xdr:to>
      <xdr:col>3</xdr:col>
      <xdr:colOff>200025</xdr:colOff>
      <xdr:row>473</xdr:row>
      <xdr:rowOff>180975</xdr:rowOff>
    </xdr:to>
    <xdr:sp macro="" textlink="">
      <xdr:nvSpPr>
        <xdr:cNvPr id="391" name="Oval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105025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209550</xdr:colOff>
      <xdr:row>474</xdr:row>
      <xdr:rowOff>104775</xdr:rowOff>
    </xdr:from>
    <xdr:to>
      <xdr:col>3</xdr:col>
      <xdr:colOff>228600</xdr:colOff>
      <xdr:row>474</xdr:row>
      <xdr:rowOff>123825</xdr:rowOff>
    </xdr:to>
    <xdr:sp macro="" textlink="">
      <xdr:nvSpPr>
        <xdr:cNvPr id="392" name="Oval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13360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790575</xdr:colOff>
      <xdr:row>473</xdr:row>
      <xdr:rowOff>114300</xdr:rowOff>
    </xdr:from>
    <xdr:to>
      <xdr:col>2</xdr:col>
      <xdr:colOff>809625</xdr:colOff>
      <xdr:row>473</xdr:row>
      <xdr:rowOff>133350</xdr:rowOff>
    </xdr:to>
    <xdr:sp macro="" textlink="">
      <xdr:nvSpPr>
        <xdr:cNvPr id="393" name="Oval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473</xdr:row>
      <xdr:rowOff>114300</xdr:rowOff>
    </xdr:from>
    <xdr:to>
      <xdr:col>3</xdr:col>
      <xdr:colOff>38100</xdr:colOff>
      <xdr:row>473</xdr:row>
      <xdr:rowOff>133350</xdr:rowOff>
    </xdr:to>
    <xdr:sp macro="" textlink="">
      <xdr:nvSpPr>
        <xdr:cNvPr id="394" name="Oval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474</xdr:row>
      <xdr:rowOff>66675</xdr:rowOff>
    </xdr:from>
    <xdr:to>
      <xdr:col>3</xdr:col>
      <xdr:colOff>76200</xdr:colOff>
      <xdr:row>474</xdr:row>
      <xdr:rowOff>85725</xdr:rowOff>
    </xdr:to>
    <xdr:sp macro="" textlink="">
      <xdr:nvSpPr>
        <xdr:cNvPr id="395" name="Oval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98120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473</xdr:row>
      <xdr:rowOff>123825</xdr:rowOff>
    </xdr:from>
    <xdr:to>
      <xdr:col>3</xdr:col>
      <xdr:colOff>285750</xdr:colOff>
      <xdr:row>473</xdr:row>
      <xdr:rowOff>142875</xdr:rowOff>
    </xdr:to>
    <xdr:sp macro="" textlink="">
      <xdr:nvSpPr>
        <xdr:cNvPr id="396" name="Oval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474</xdr:row>
      <xdr:rowOff>76200</xdr:rowOff>
    </xdr:from>
    <xdr:to>
      <xdr:col>3</xdr:col>
      <xdr:colOff>219075</xdr:colOff>
      <xdr:row>474</xdr:row>
      <xdr:rowOff>95250</xdr:rowOff>
    </xdr:to>
    <xdr:sp macro="" textlink="">
      <xdr:nvSpPr>
        <xdr:cNvPr id="397" name="Oval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2124075" y="96688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352425</xdr:colOff>
      <xdr:row>473</xdr:row>
      <xdr:rowOff>123825</xdr:rowOff>
    </xdr:from>
    <xdr:to>
      <xdr:col>3</xdr:col>
      <xdr:colOff>371475</xdr:colOff>
      <xdr:row>473</xdr:row>
      <xdr:rowOff>142875</xdr:rowOff>
    </xdr:to>
    <xdr:sp macro="" textlink="">
      <xdr:nvSpPr>
        <xdr:cNvPr id="398" name="Oval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2276475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381000</xdr:colOff>
      <xdr:row>474</xdr:row>
      <xdr:rowOff>66675</xdr:rowOff>
    </xdr:from>
    <xdr:to>
      <xdr:col>3</xdr:col>
      <xdr:colOff>400050</xdr:colOff>
      <xdr:row>474</xdr:row>
      <xdr:rowOff>85725</xdr:rowOff>
    </xdr:to>
    <xdr:sp macro="" textlink="">
      <xdr:nvSpPr>
        <xdr:cNvPr id="399" name="Oval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230505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473</xdr:row>
      <xdr:rowOff>152400</xdr:rowOff>
    </xdr:from>
    <xdr:to>
      <xdr:col>3</xdr:col>
      <xdr:colOff>257175</xdr:colOff>
      <xdr:row>473</xdr:row>
      <xdr:rowOff>171450</xdr:rowOff>
    </xdr:to>
    <xdr:sp macro="" textlink="">
      <xdr:nvSpPr>
        <xdr:cNvPr id="400" name="Oval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216217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295275</xdr:colOff>
      <xdr:row>473</xdr:row>
      <xdr:rowOff>152400</xdr:rowOff>
    </xdr:from>
    <xdr:to>
      <xdr:col>3</xdr:col>
      <xdr:colOff>314325</xdr:colOff>
      <xdr:row>473</xdr:row>
      <xdr:rowOff>171450</xdr:rowOff>
    </xdr:to>
    <xdr:sp macro="" textlink="">
      <xdr:nvSpPr>
        <xdr:cNvPr id="401" name="Oval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333375</xdr:colOff>
      <xdr:row>474</xdr:row>
      <xdr:rowOff>104775</xdr:rowOff>
    </xdr:from>
    <xdr:to>
      <xdr:col>3</xdr:col>
      <xdr:colOff>352425</xdr:colOff>
      <xdr:row>474</xdr:row>
      <xdr:rowOff>123825</xdr:rowOff>
    </xdr:to>
    <xdr:sp macro="" textlink="">
      <xdr:nvSpPr>
        <xdr:cNvPr id="402" name="Oval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542925</xdr:colOff>
      <xdr:row>473</xdr:row>
      <xdr:rowOff>161925</xdr:rowOff>
    </xdr:from>
    <xdr:to>
      <xdr:col>3</xdr:col>
      <xdr:colOff>561975</xdr:colOff>
      <xdr:row>473</xdr:row>
      <xdr:rowOff>180975</xdr:rowOff>
    </xdr:to>
    <xdr:sp macro="" textlink="">
      <xdr:nvSpPr>
        <xdr:cNvPr id="403" name="Oval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2466975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476250</xdr:colOff>
      <xdr:row>474</xdr:row>
      <xdr:rowOff>114300</xdr:rowOff>
    </xdr:from>
    <xdr:to>
      <xdr:col>3</xdr:col>
      <xdr:colOff>495300</xdr:colOff>
      <xdr:row>474</xdr:row>
      <xdr:rowOff>133350</xdr:rowOff>
    </xdr:to>
    <xdr:sp macro="" textlink="">
      <xdr:nvSpPr>
        <xdr:cNvPr id="404" name="Oval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240030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473</xdr:row>
      <xdr:rowOff>161925</xdr:rowOff>
    </xdr:from>
    <xdr:to>
      <xdr:col>4</xdr:col>
      <xdr:colOff>28575</xdr:colOff>
      <xdr:row>473</xdr:row>
      <xdr:rowOff>180975</xdr:rowOff>
    </xdr:to>
    <xdr:sp macro="" textlink="">
      <xdr:nvSpPr>
        <xdr:cNvPr id="405" name="Oval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2505075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474</xdr:row>
      <xdr:rowOff>104775</xdr:rowOff>
    </xdr:from>
    <xdr:to>
      <xdr:col>4</xdr:col>
      <xdr:colOff>57150</xdr:colOff>
      <xdr:row>474</xdr:row>
      <xdr:rowOff>123825</xdr:rowOff>
    </xdr:to>
    <xdr:sp macro="" textlink="">
      <xdr:nvSpPr>
        <xdr:cNvPr id="406" name="Oval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253365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504825</xdr:colOff>
      <xdr:row>473</xdr:row>
      <xdr:rowOff>142875</xdr:rowOff>
    </xdr:from>
    <xdr:to>
      <xdr:col>3</xdr:col>
      <xdr:colOff>523875</xdr:colOff>
      <xdr:row>473</xdr:row>
      <xdr:rowOff>161925</xdr:rowOff>
    </xdr:to>
    <xdr:sp macro="" textlink="">
      <xdr:nvSpPr>
        <xdr:cNvPr id="407" name="Oval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2428875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473</xdr:row>
      <xdr:rowOff>142875</xdr:rowOff>
    </xdr:from>
    <xdr:to>
      <xdr:col>3</xdr:col>
      <xdr:colOff>571500</xdr:colOff>
      <xdr:row>473</xdr:row>
      <xdr:rowOff>161925</xdr:rowOff>
    </xdr:to>
    <xdr:sp macro="" textlink="">
      <xdr:nvSpPr>
        <xdr:cNvPr id="408" name="Oval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96554925"/>
          <a:ext cx="9525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600075</xdr:colOff>
      <xdr:row>474</xdr:row>
      <xdr:rowOff>95250</xdr:rowOff>
    </xdr:from>
    <xdr:to>
      <xdr:col>4</xdr:col>
      <xdr:colOff>0</xdr:colOff>
      <xdr:row>474</xdr:row>
      <xdr:rowOff>114300</xdr:rowOff>
    </xdr:to>
    <xdr:sp macro="" textlink="">
      <xdr:nvSpPr>
        <xdr:cNvPr id="409" name="Oval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2495550" y="96707325"/>
          <a:ext cx="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473</xdr:row>
      <xdr:rowOff>152400</xdr:rowOff>
    </xdr:from>
    <xdr:to>
      <xdr:col>4</xdr:col>
      <xdr:colOff>209550</xdr:colOff>
      <xdr:row>473</xdr:row>
      <xdr:rowOff>171450</xdr:rowOff>
    </xdr:to>
    <xdr:sp macro="" textlink="">
      <xdr:nvSpPr>
        <xdr:cNvPr id="410" name="Oval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123825</xdr:colOff>
      <xdr:row>474</xdr:row>
      <xdr:rowOff>104775</xdr:rowOff>
    </xdr:from>
    <xdr:to>
      <xdr:col>4</xdr:col>
      <xdr:colOff>142875</xdr:colOff>
      <xdr:row>474</xdr:row>
      <xdr:rowOff>123825</xdr:rowOff>
    </xdr:to>
    <xdr:sp macro="" textlink="">
      <xdr:nvSpPr>
        <xdr:cNvPr id="411" name="Oval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473</xdr:row>
      <xdr:rowOff>152400</xdr:rowOff>
    </xdr:from>
    <xdr:to>
      <xdr:col>4</xdr:col>
      <xdr:colOff>295275</xdr:colOff>
      <xdr:row>473</xdr:row>
      <xdr:rowOff>171450</xdr:rowOff>
    </xdr:to>
    <xdr:sp macro="" textlink="">
      <xdr:nvSpPr>
        <xdr:cNvPr id="412" name="Oval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277177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304800</xdr:colOff>
      <xdr:row>474</xdr:row>
      <xdr:rowOff>95250</xdr:rowOff>
    </xdr:from>
    <xdr:to>
      <xdr:col>4</xdr:col>
      <xdr:colOff>323850</xdr:colOff>
      <xdr:row>474</xdr:row>
      <xdr:rowOff>114300</xdr:rowOff>
    </xdr:to>
    <xdr:sp macro="" textlink="">
      <xdr:nvSpPr>
        <xdr:cNvPr id="413" name="Oval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2800350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123825</xdr:colOff>
      <xdr:row>473</xdr:row>
      <xdr:rowOff>142875</xdr:rowOff>
    </xdr:from>
    <xdr:to>
      <xdr:col>4</xdr:col>
      <xdr:colOff>142875</xdr:colOff>
      <xdr:row>473</xdr:row>
      <xdr:rowOff>161925</xdr:rowOff>
    </xdr:to>
    <xdr:sp macro="" textlink="">
      <xdr:nvSpPr>
        <xdr:cNvPr id="414" name="Oval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2619375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180975</xdr:colOff>
      <xdr:row>473</xdr:row>
      <xdr:rowOff>142875</xdr:rowOff>
    </xdr:from>
    <xdr:to>
      <xdr:col>4</xdr:col>
      <xdr:colOff>200025</xdr:colOff>
      <xdr:row>473</xdr:row>
      <xdr:rowOff>161925</xdr:rowOff>
    </xdr:to>
    <xdr:sp macro="" textlink="">
      <xdr:nvSpPr>
        <xdr:cNvPr id="415" name="Oval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2676525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474</xdr:row>
      <xdr:rowOff>95250</xdr:rowOff>
    </xdr:from>
    <xdr:to>
      <xdr:col>4</xdr:col>
      <xdr:colOff>238125</xdr:colOff>
      <xdr:row>474</xdr:row>
      <xdr:rowOff>114300</xdr:rowOff>
    </xdr:to>
    <xdr:sp macro="" textlink="">
      <xdr:nvSpPr>
        <xdr:cNvPr id="416" name="Oval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2714625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428625</xdr:colOff>
      <xdr:row>473</xdr:row>
      <xdr:rowOff>152400</xdr:rowOff>
    </xdr:from>
    <xdr:to>
      <xdr:col>4</xdr:col>
      <xdr:colOff>447675</xdr:colOff>
      <xdr:row>473</xdr:row>
      <xdr:rowOff>171450</xdr:rowOff>
    </xdr:to>
    <xdr:sp macro="" textlink="">
      <xdr:nvSpPr>
        <xdr:cNvPr id="417" name="Oval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292417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361950</xdr:colOff>
      <xdr:row>474</xdr:row>
      <xdr:rowOff>104775</xdr:rowOff>
    </xdr:from>
    <xdr:to>
      <xdr:col>4</xdr:col>
      <xdr:colOff>381000</xdr:colOff>
      <xdr:row>474</xdr:row>
      <xdr:rowOff>123825</xdr:rowOff>
    </xdr:to>
    <xdr:sp macro="" textlink="">
      <xdr:nvSpPr>
        <xdr:cNvPr id="418" name="Oval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473</xdr:row>
      <xdr:rowOff>152400</xdr:rowOff>
    </xdr:from>
    <xdr:to>
      <xdr:col>4</xdr:col>
      <xdr:colOff>533400</xdr:colOff>
      <xdr:row>473</xdr:row>
      <xdr:rowOff>171450</xdr:rowOff>
    </xdr:to>
    <xdr:sp macro="" textlink="">
      <xdr:nvSpPr>
        <xdr:cNvPr id="419" name="Oval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474</xdr:row>
      <xdr:rowOff>95250</xdr:rowOff>
    </xdr:from>
    <xdr:to>
      <xdr:col>4</xdr:col>
      <xdr:colOff>561975</xdr:colOff>
      <xdr:row>474</xdr:row>
      <xdr:rowOff>114300</xdr:rowOff>
    </xdr:to>
    <xdr:sp macro="" textlink="">
      <xdr:nvSpPr>
        <xdr:cNvPr id="420" name="Oval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3038475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473</xdr:row>
      <xdr:rowOff>123825</xdr:rowOff>
    </xdr:from>
    <xdr:to>
      <xdr:col>4</xdr:col>
      <xdr:colOff>295275</xdr:colOff>
      <xdr:row>473</xdr:row>
      <xdr:rowOff>142875</xdr:rowOff>
    </xdr:to>
    <xdr:sp macro="" textlink="">
      <xdr:nvSpPr>
        <xdr:cNvPr id="421" name="Oval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2771775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473</xdr:row>
      <xdr:rowOff>123825</xdr:rowOff>
    </xdr:from>
    <xdr:to>
      <xdr:col>4</xdr:col>
      <xdr:colOff>352425</xdr:colOff>
      <xdr:row>473</xdr:row>
      <xdr:rowOff>142875</xdr:rowOff>
    </xdr:to>
    <xdr:sp macro="" textlink="">
      <xdr:nvSpPr>
        <xdr:cNvPr id="422" name="Oval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2828925" y="96535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474</xdr:row>
      <xdr:rowOff>76200</xdr:rowOff>
    </xdr:from>
    <xdr:to>
      <xdr:col>4</xdr:col>
      <xdr:colOff>390525</xdr:colOff>
      <xdr:row>474</xdr:row>
      <xdr:rowOff>95250</xdr:rowOff>
    </xdr:to>
    <xdr:sp macro="" textlink="">
      <xdr:nvSpPr>
        <xdr:cNvPr id="423" name="Oval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96688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473</xdr:row>
      <xdr:rowOff>133350</xdr:rowOff>
    </xdr:from>
    <xdr:to>
      <xdr:col>4</xdr:col>
      <xdr:colOff>600075</xdr:colOff>
      <xdr:row>473</xdr:row>
      <xdr:rowOff>152400</xdr:rowOff>
    </xdr:to>
    <xdr:sp macro="" textlink="">
      <xdr:nvSpPr>
        <xdr:cNvPr id="424" name="Oval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3076575" y="96545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474</xdr:row>
      <xdr:rowOff>85725</xdr:rowOff>
    </xdr:from>
    <xdr:to>
      <xdr:col>4</xdr:col>
      <xdr:colOff>533400</xdr:colOff>
      <xdr:row>474</xdr:row>
      <xdr:rowOff>104775</xdr:rowOff>
    </xdr:to>
    <xdr:sp macro="" textlink="">
      <xdr:nvSpPr>
        <xdr:cNvPr id="425" name="Oval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96697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666750</xdr:colOff>
      <xdr:row>473</xdr:row>
      <xdr:rowOff>133350</xdr:rowOff>
    </xdr:from>
    <xdr:to>
      <xdr:col>4</xdr:col>
      <xdr:colOff>685800</xdr:colOff>
      <xdr:row>473</xdr:row>
      <xdr:rowOff>152400</xdr:rowOff>
    </xdr:to>
    <xdr:sp macro="" textlink="">
      <xdr:nvSpPr>
        <xdr:cNvPr id="426" name="Oval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3162300" y="96545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474</xdr:row>
      <xdr:rowOff>76200</xdr:rowOff>
    </xdr:from>
    <xdr:to>
      <xdr:col>5</xdr:col>
      <xdr:colOff>9525</xdr:colOff>
      <xdr:row>474</xdr:row>
      <xdr:rowOff>95250</xdr:rowOff>
    </xdr:to>
    <xdr:sp macro="" textlink="">
      <xdr:nvSpPr>
        <xdr:cNvPr id="427" name="Oval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96688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428625</xdr:colOff>
      <xdr:row>473</xdr:row>
      <xdr:rowOff>85725</xdr:rowOff>
    </xdr:from>
    <xdr:to>
      <xdr:col>4</xdr:col>
      <xdr:colOff>447675</xdr:colOff>
      <xdr:row>473</xdr:row>
      <xdr:rowOff>104775</xdr:rowOff>
    </xdr:to>
    <xdr:sp macro="" textlink="">
      <xdr:nvSpPr>
        <xdr:cNvPr id="428" name="Oval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2924175" y="964977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485775</xdr:colOff>
      <xdr:row>473</xdr:row>
      <xdr:rowOff>85725</xdr:rowOff>
    </xdr:from>
    <xdr:to>
      <xdr:col>4</xdr:col>
      <xdr:colOff>504825</xdr:colOff>
      <xdr:row>473</xdr:row>
      <xdr:rowOff>104775</xdr:rowOff>
    </xdr:to>
    <xdr:sp macro="" textlink="">
      <xdr:nvSpPr>
        <xdr:cNvPr id="429" name="Oval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2981325" y="964977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474</xdr:row>
      <xdr:rowOff>38100</xdr:rowOff>
    </xdr:from>
    <xdr:to>
      <xdr:col>4</xdr:col>
      <xdr:colOff>542925</xdr:colOff>
      <xdr:row>474</xdr:row>
      <xdr:rowOff>57150</xdr:rowOff>
    </xdr:to>
    <xdr:sp macro="" textlink="">
      <xdr:nvSpPr>
        <xdr:cNvPr id="430" name="Oval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473</xdr:row>
      <xdr:rowOff>95250</xdr:rowOff>
    </xdr:from>
    <xdr:to>
      <xdr:col>5</xdr:col>
      <xdr:colOff>47625</xdr:colOff>
      <xdr:row>473</xdr:row>
      <xdr:rowOff>114300</xdr:rowOff>
    </xdr:to>
    <xdr:sp macro="" textlink="">
      <xdr:nvSpPr>
        <xdr:cNvPr id="431" name="Oval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65073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666750</xdr:colOff>
      <xdr:row>474</xdr:row>
      <xdr:rowOff>47625</xdr:rowOff>
    </xdr:from>
    <xdr:to>
      <xdr:col>4</xdr:col>
      <xdr:colOff>685800</xdr:colOff>
      <xdr:row>474</xdr:row>
      <xdr:rowOff>66675</xdr:rowOff>
    </xdr:to>
    <xdr:sp macro="" textlink="">
      <xdr:nvSpPr>
        <xdr:cNvPr id="432" name="Oval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3162300" y="96659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473</xdr:row>
      <xdr:rowOff>95250</xdr:rowOff>
    </xdr:from>
    <xdr:to>
      <xdr:col>5</xdr:col>
      <xdr:colOff>133350</xdr:colOff>
      <xdr:row>473</xdr:row>
      <xdr:rowOff>114300</xdr:rowOff>
    </xdr:to>
    <xdr:sp macro="" textlink="">
      <xdr:nvSpPr>
        <xdr:cNvPr id="433" name="Oval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3314700" y="965073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474</xdr:row>
      <xdr:rowOff>38100</xdr:rowOff>
    </xdr:from>
    <xdr:to>
      <xdr:col>5</xdr:col>
      <xdr:colOff>161925</xdr:colOff>
      <xdr:row>474</xdr:row>
      <xdr:rowOff>57150</xdr:rowOff>
    </xdr:to>
    <xdr:sp macro="" textlink="">
      <xdr:nvSpPr>
        <xdr:cNvPr id="434" name="Oval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3343275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473</xdr:row>
      <xdr:rowOff>104775</xdr:rowOff>
    </xdr:from>
    <xdr:to>
      <xdr:col>4</xdr:col>
      <xdr:colOff>619125</xdr:colOff>
      <xdr:row>473</xdr:row>
      <xdr:rowOff>123825</xdr:rowOff>
    </xdr:to>
    <xdr:sp macro="" textlink="">
      <xdr:nvSpPr>
        <xdr:cNvPr id="435" name="Oval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3095625" y="96516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657225</xdr:colOff>
      <xdr:row>473</xdr:row>
      <xdr:rowOff>104775</xdr:rowOff>
    </xdr:from>
    <xdr:to>
      <xdr:col>4</xdr:col>
      <xdr:colOff>676275</xdr:colOff>
      <xdr:row>473</xdr:row>
      <xdr:rowOff>123825</xdr:rowOff>
    </xdr:to>
    <xdr:sp macro="" textlink="">
      <xdr:nvSpPr>
        <xdr:cNvPr id="436" name="Oval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6516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474</xdr:row>
      <xdr:rowOff>57150</xdr:rowOff>
    </xdr:from>
    <xdr:to>
      <xdr:col>5</xdr:col>
      <xdr:colOff>9525</xdr:colOff>
      <xdr:row>474</xdr:row>
      <xdr:rowOff>76200</xdr:rowOff>
    </xdr:to>
    <xdr:sp macro="" textlink="">
      <xdr:nvSpPr>
        <xdr:cNvPr id="437" name="Oval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96669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473</xdr:row>
      <xdr:rowOff>114300</xdr:rowOff>
    </xdr:from>
    <xdr:to>
      <xdr:col>5</xdr:col>
      <xdr:colOff>219075</xdr:colOff>
      <xdr:row>473</xdr:row>
      <xdr:rowOff>133350</xdr:rowOff>
    </xdr:to>
    <xdr:sp macro="" textlink="">
      <xdr:nvSpPr>
        <xdr:cNvPr id="438" name="Oval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474</xdr:row>
      <xdr:rowOff>66675</xdr:rowOff>
    </xdr:from>
    <xdr:to>
      <xdr:col>5</xdr:col>
      <xdr:colOff>152400</xdr:colOff>
      <xdr:row>474</xdr:row>
      <xdr:rowOff>85725</xdr:rowOff>
    </xdr:to>
    <xdr:sp macro="" textlink="">
      <xdr:nvSpPr>
        <xdr:cNvPr id="439" name="Oval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333375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285750</xdr:colOff>
      <xdr:row>473</xdr:row>
      <xdr:rowOff>114300</xdr:rowOff>
    </xdr:from>
    <xdr:to>
      <xdr:col>5</xdr:col>
      <xdr:colOff>304800</xdr:colOff>
      <xdr:row>473</xdr:row>
      <xdr:rowOff>133350</xdr:rowOff>
    </xdr:to>
    <xdr:sp macro="" textlink="">
      <xdr:nvSpPr>
        <xdr:cNvPr id="440" name="Oval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348615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314325</xdr:colOff>
      <xdr:row>474</xdr:row>
      <xdr:rowOff>57150</xdr:rowOff>
    </xdr:from>
    <xdr:to>
      <xdr:col>5</xdr:col>
      <xdr:colOff>333375</xdr:colOff>
      <xdr:row>474</xdr:row>
      <xdr:rowOff>76200</xdr:rowOff>
    </xdr:to>
    <xdr:sp macro="" textlink="">
      <xdr:nvSpPr>
        <xdr:cNvPr id="441" name="Oval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3514725" y="96669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473</xdr:row>
      <xdr:rowOff>142875</xdr:rowOff>
    </xdr:from>
    <xdr:to>
      <xdr:col>5</xdr:col>
      <xdr:colOff>238125</xdr:colOff>
      <xdr:row>473</xdr:row>
      <xdr:rowOff>161925</xdr:rowOff>
    </xdr:to>
    <xdr:sp macro="" textlink="">
      <xdr:nvSpPr>
        <xdr:cNvPr id="442" name="Oval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3419475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473</xdr:row>
      <xdr:rowOff>142875</xdr:rowOff>
    </xdr:from>
    <xdr:to>
      <xdr:col>5</xdr:col>
      <xdr:colOff>295275</xdr:colOff>
      <xdr:row>473</xdr:row>
      <xdr:rowOff>161925</xdr:rowOff>
    </xdr:to>
    <xdr:sp macro="" textlink="">
      <xdr:nvSpPr>
        <xdr:cNvPr id="443" name="Oval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3476625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314325</xdr:colOff>
      <xdr:row>474</xdr:row>
      <xdr:rowOff>95250</xdr:rowOff>
    </xdr:from>
    <xdr:to>
      <xdr:col>5</xdr:col>
      <xdr:colOff>333375</xdr:colOff>
      <xdr:row>474</xdr:row>
      <xdr:rowOff>114300</xdr:rowOff>
    </xdr:to>
    <xdr:sp macro="" textlink="">
      <xdr:nvSpPr>
        <xdr:cNvPr id="444" name="Oval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3514725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523875</xdr:colOff>
      <xdr:row>473</xdr:row>
      <xdr:rowOff>152400</xdr:rowOff>
    </xdr:from>
    <xdr:to>
      <xdr:col>5</xdr:col>
      <xdr:colOff>542925</xdr:colOff>
      <xdr:row>473</xdr:row>
      <xdr:rowOff>171450</xdr:rowOff>
    </xdr:to>
    <xdr:sp macro="" textlink="">
      <xdr:nvSpPr>
        <xdr:cNvPr id="445" name="Oval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457200</xdr:colOff>
      <xdr:row>474</xdr:row>
      <xdr:rowOff>104775</xdr:rowOff>
    </xdr:from>
    <xdr:to>
      <xdr:col>5</xdr:col>
      <xdr:colOff>476250</xdr:colOff>
      <xdr:row>474</xdr:row>
      <xdr:rowOff>123825</xdr:rowOff>
    </xdr:to>
    <xdr:sp macro="" textlink="">
      <xdr:nvSpPr>
        <xdr:cNvPr id="446" name="Oval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609600</xdr:colOff>
      <xdr:row>473</xdr:row>
      <xdr:rowOff>152400</xdr:rowOff>
    </xdr:from>
    <xdr:to>
      <xdr:col>5</xdr:col>
      <xdr:colOff>628650</xdr:colOff>
      <xdr:row>473</xdr:row>
      <xdr:rowOff>171450</xdr:rowOff>
    </xdr:to>
    <xdr:sp macro="" textlink="">
      <xdr:nvSpPr>
        <xdr:cNvPr id="447" name="Oval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638175</xdr:colOff>
      <xdr:row>474</xdr:row>
      <xdr:rowOff>95250</xdr:rowOff>
    </xdr:from>
    <xdr:to>
      <xdr:col>5</xdr:col>
      <xdr:colOff>657225</xdr:colOff>
      <xdr:row>474</xdr:row>
      <xdr:rowOff>114300</xdr:rowOff>
    </xdr:to>
    <xdr:sp macro="" textlink="">
      <xdr:nvSpPr>
        <xdr:cNvPr id="448" name="Oval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3838575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685800</xdr:colOff>
      <xdr:row>473</xdr:row>
      <xdr:rowOff>142875</xdr:rowOff>
    </xdr:from>
    <xdr:to>
      <xdr:col>6</xdr:col>
      <xdr:colOff>0</xdr:colOff>
      <xdr:row>473</xdr:row>
      <xdr:rowOff>161925</xdr:rowOff>
    </xdr:to>
    <xdr:sp macro="" textlink="">
      <xdr:nvSpPr>
        <xdr:cNvPr id="449" name="Oval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3886200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473</xdr:row>
      <xdr:rowOff>142875</xdr:rowOff>
    </xdr:from>
    <xdr:to>
      <xdr:col>6</xdr:col>
      <xdr:colOff>57150</xdr:colOff>
      <xdr:row>473</xdr:row>
      <xdr:rowOff>161925</xdr:rowOff>
    </xdr:to>
    <xdr:sp macro="" textlink="">
      <xdr:nvSpPr>
        <xdr:cNvPr id="450" name="Oval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3943350" y="96554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474</xdr:row>
      <xdr:rowOff>95250</xdr:rowOff>
    </xdr:from>
    <xdr:to>
      <xdr:col>6</xdr:col>
      <xdr:colOff>95250</xdr:colOff>
      <xdr:row>474</xdr:row>
      <xdr:rowOff>114300</xdr:rowOff>
    </xdr:to>
    <xdr:sp macro="" textlink="">
      <xdr:nvSpPr>
        <xdr:cNvPr id="451" name="Oval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3981450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285750</xdr:colOff>
      <xdr:row>473</xdr:row>
      <xdr:rowOff>152400</xdr:rowOff>
    </xdr:from>
    <xdr:to>
      <xdr:col>6</xdr:col>
      <xdr:colOff>304800</xdr:colOff>
      <xdr:row>473</xdr:row>
      <xdr:rowOff>171450</xdr:rowOff>
    </xdr:to>
    <xdr:sp macro="" textlink="">
      <xdr:nvSpPr>
        <xdr:cNvPr id="452" name="Oval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219075</xdr:colOff>
      <xdr:row>474</xdr:row>
      <xdr:rowOff>104775</xdr:rowOff>
    </xdr:from>
    <xdr:to>
      <xdr:col>6</xdr:col>
      <xdr:colOff>238125</xdr:colOff>
      <xdr:row>474</xdr:row>
      <xdr:rowOff>123825</xdr:rowOff>
    </xdr:to>
    <xdr:sp macro="" textlink="">
      <xdr:nvSpPr>
        <xdr:cNvPr id="453" name="Oval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371475</xdr:colOff>
      <xdr:row>473</xdr:row>
      <xdr:rowOff>152400</xdr:rowOff>
    </xdr:from>
    <xdr:to>
      <xdr:col>6</xdr:col>
      <xdr:colOff>390525</xdr:colOff>
      <xdr:row>473</xdr:row>
      <xdr:rowOff>171450</xdr:rowOff>
    </xdr:to>
    <xdr:sp macro="" textlink="">
      <xdr:nvSpPr>
        <xdr:cNvPr id="454" name="Oval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427672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400050</xdr:colOff>
      <xdr:row>474</xdr:row>
      <xdr:rowOff>95250</xdr:rowOff>
    </xdr:from>
    <xdr:to>
      <xdr:col>6</xdr:col>
      <xdr:colOff>419100</xdr:colOff>
      <xdr:row>474</xdr:row>
      <xdr:rowOff>114300</xdr:rowOff>
    </xdr:to>
    <xdr:sp macro="" textlink="">
      <xdr:nvSpPr>
        <xdr:cNvPr id="455" name="Oval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4305300" y="96707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561975</xdr:colOff>
      <xdr:row>473</xdr:row>
      <xdr:rowOff>152400</xdr:rowOff>
    </xdr:from>
    <xdr:to>
      <xdr:col>6</xdr:col>
      <xdr:colOff>581025</xdr:colOff>
      <xdr:row>473</xdr:row>
      <xdr:rowOff>171450</xdr:rowOff>
    </xdr:to>
    <xdr:sp macro="" textlink="">
      <xdr:nvSpPr>
        <xdr:cNvPr id="456" name="Oval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619125</xdr:colOff>
      <xdr:row>473</xdr:row>
      <xdr:rowOff>152400</xdr:rowOff>
    </xdr:from>
    <xdr:to>
      <xdr:col>6</xdr:col>
      <xdr:colOff>638175</xdr:colOff>
      <xdr:row>473</xdr:row>
      <xdr:rowOff>171450</xdr:rowOff>
    </xdr:to>
    <xdr:sp macro="" textlink="">
      <xdr:nvSpPr>
        <xdr:cNvPr id="457" name="Oval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4524375" y="96564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657225</xdr:colOff>
      <xdr:row>474</xdr:row>
      <xdr:rowOff>104775</xdr:rowOff>
    </xdr:from>
    <xdr:to>
      <xdr:col>6</xdr:col>
      <xdr:colOff>676275</xdr:colOff>
      <xdr:row>474</xdr:row>
      <xdr:rowOff>123825</xdr:rowOff>
    </xdr:to>
    <xdr:sp macro="" textlink="">
      <xdr:nvSpPr>
        <xdr:cNvPr id="458" name="Oval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473</xdr:row>
      <xdr:rowOff>161925</xdr:rowOff>
    </xdr:from>
    <xdr:to>
      <xdr:col>7</xdr:col>
      <xdr:colOff>114300</xdr:colOff>
      <xdr:row>473</xdr:row>
      <xdr:rowOff>180975</xdr:rowOff>
    </xdr:to>
    <xdr:sp macro="" textlink="">
      <xdr:nvSpPr>
        <xdr:cNvPr id="459" name="Oval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4772025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474</xdr:row>
      <xdr:rowOff>114300</xdr:rowOff>
    </xdr:from>
    <xdr:to>
      <xdr:col>7</xdr:col>
      <xdr:colOff>47625</xdr:colOff>
      <xdr:row>474</xdr:row>
      <xdr:rowOff>133350</xdr:rowOff>
    </xdr:to>
    <xdr:sp macro="" textlink="">
      <xdr:nvSpPr>
        <xdr:cNvPr id="460" name="Oval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470535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473</xdr:row>
      <xdr:rowOff>161925</xdr:rowOff>
    </xdr:from>
    <xdr:to>
      <xdr:col>7</xdr:col>
      <xdr:colOff>200025</xdr:colOff>
      <xdr:row>473</xdr:row>
      <xdr:rowOff>180975</xdr:rowOff>
    </xdr:to>
    <xdr:sp macro="" textlink="">
      <xdr:nvSpPr>
        <xdr:cNvPr id="461" name="Oval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474</xdr:row>
      <xdr:rowOff>104775</xdr:rowOff>
    </xdr:from>
    <xdr:to>
      <xdr:col>7</xdr:col>
      <xdr:colOff>228600</xdr:colOff>
      <xdr:row>474</xdr:row>
      <xdr:rowOff>123825</xdr:rowOff>
    </xdr:to>
    <xdr:sp macro="" textlink="">
      <xdr:nvSpPr>
        <xdr:cNvPr id="462" name="Oval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4886325" y="96716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473</xdr:row>
      <xdr:rowOff>161925</xdr:rowOff>
    </xdr:from>
    <xdr:to>
      <xdr:col>7</xdr:col>
      <xdr:colOff>238125</xdr:colOff>
      <xdr:row>473</xdr:row>
      <xdr:rowOff>180975</xdr:rowOff>
    </xdr:to>
    <xdr:sp macro="" textlink="">
      <xdr:nvSpPr>
        <xdr:cNvPr id="463" name="Oval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489585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473</xdr:row>
      <xdr:rowOff>161925</xdr:rowOff>
    </xdr:from>
    <xdr:to>
      <xdr:col>7</xdr:col>
      <xdr:colOff>295275</xdr:colOff>
      <xdr:row>473</xdr:row>
      <xdr:rowOff>180975</xdr:rowOff>
    </xdr:to>
    <xdr:sp macro="" textlink="">
      <xdr:nvSpPr>
        <xdr:cNvPr id="464" name="Oval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96573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314325</xdr:colOff>
      <xdr:row>474</xdr:row>
      <xdr:rowOff>114300</xdr:rowOff>
    </xdr:from>
    <xdr:to>
      <xdr:col>7</xdr:col>
      <xdr:colOff>333375</xdr:colOff>
      <xdr:row>474</xdr:row>
      <xdr:rowOff>133350</xdr:rowOff>
    </xdr:to>
    <xdr:sp macro="" textlink="">
      <xdr:nvSpPr>
        <xdr:cNvPr id="465" name="Oval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499110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523875</xdr:colOff>
      <xdr:row>473</xdr:row>
      <xdr:rowOff>171450</xdr:rowOff>
    </xdr:from>
    <xdr:to>
      <xdr:col>7</xdr:col>
      <xdr:colOff>542925</xdr:colOff>
      <xdr:row>473</xdr:row>
      <xdr:rowOff>190500</xdr:rowOff>
    </xdr:to>
    <xdr:sp macro="" textlink="">
      <xdr:nvSpPr>
        <xdr:cNvPr id="466" name="Oval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96583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457200</xdr:colOff>
      <xdr:row>474</xdr:row>
      <xdr:rowOff>123825</xdr:rowOff>
    </xdr:from>
    <xdr:to>
      <xdr:col>7</xdr:col>
      <xdr:colOff>476250</xdr:colOff>
      <xdr:row>474</xdr:row>
      <xdr:rowOff>142875</xdr:rowOff>
    </xdr:to>
    <xdr:sp macro="" textlink="">
      <xdr:nvSpPr>
        <xdr:cNvPr id="467" name="Oval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967359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609600</xdr:colOff>
      <xdr:row>473</xdr:row>
      <xdr:rowOff>171450</xdr:rowOff>
    </xdr:from>
    <xdr:to>
      <xdr:col>7</xdr:col>
      <xdr:colOff>628650</xdr:colOff>
      <xdr:row>473</xdr:row>
      <xdr:rowOff>190500</xdr:rowOff>
    </xdr:to>
    <xdr:sp macro="" textlink="">
      <xdr:nvSpPr>
        <xdr:cNvPr id="468" name="Oval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96583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638175</xdr:colOff>
      <xdr:row>474</xdr:row>
      <xdr:rowOff>114300</xdr:rowOff>
    </xdr:from>
    <xdr:to>
      <xdr:col>8</xdr:col>
      <xdr:colOff>9525</xdr:colOff>
      <xdr:row>474</xdr:row>
      <xdr:rowOff>133350</xdr:rowOff>
    </xdr:to>
    <xdr:sp macro="" textlink="">
      <xdr:nvSpPr>
        <xdr:cNvPr id="469" name="Oval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6726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473</xdr:row>
      <xdr:rowOff>104775</xdr:rowOff>
    </xdr:from>
    <xdr:to>
      <xdr:col>7</xdr:col>
      <xdr:colOff>390525</xdr:colOff>
      <xdr:row>473</xdr:row>
      <xdr:rowOff>123825</xdr:rowOff>
    </xdr:to>
    <xdr:sp macro="" textlink="">
      <xdr:nvSpPr>
        <xdr:cNvPr id="470" name="Oval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5048250" y="96516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428625</xdr:colOff>
      <xdr:row>473</xdr:row>
      <xdr:rowOff>104775</xdr:rowOff>
    </xdr:from>
    <xdr:to>
      <xdr:col>7</xdr:col>
      <xdr:colOff>447675</xdr:colOff>
      <xdr:row>473</xdr:row>
      <xdr:rowOff>123825</xdr:rowOff>
    </xdr:to>
    <xdr:sp macro="" textlink="">
      <xdr:nvSpPr>
        <xdr:cNvPr id="471" name="Oval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5105400" y="96516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466725</xdr:colOff>
      <xdr:row>474</xdr:row>
      <xdr:rowOff>57150</xdr:rowOff>
    </xdr:from>
    <xdr:to>
      <xdr:col>7</xdr:col>
      <xdr:colOff>485775</xdr:colOff>
      <xdr:row>474</xdr:row>
      <xdr:rowOff>76200</xdr:rowOff>
    </xdr:to>
    <xdr:sp macro="" textlink="">
      <xdr:nvSpPr>
        <xdr:cNvPr id="472" name="Oval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6669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473</xdr:row>
      <xdr:rowOff>114300</xdr:rowOff>
    </xdr:from>
    <xdr:to>
      <xdr:col>8</xdr:col>
      <xdr:colOff>47625</xdr:colOff>
      <xdr:row>473</xdr:row>
      <xdr:rowOff>133350</xdr:rowOff>
    </xdr:to>
    <xdr:sp macro="" textlink="">
      <xdr:nvSpPr>
        <xdr:cNvPr id="473" name="Oval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5353050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609600</xdr:colOff>
      <xdr:row>474</xdr:row>
      <xdr:rowOff>66675</xdr:rowOff>
    </xdr:from>
    <xdr:to>
      <xdr:col>7</xdr:col>
      <xdr:colOff>628650</xdr:colOff>
      <xdr:row>474</xdr:row>
      <xdr:rowOff>85725</xdr:rowOff>
    </xdr:to>
    <xdr:sp macro="" textlink="">
      <xdr:nvSpPr>
        <xdr:cNvPr id="474" name="Oval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473</xdr:row>
      <xdr:rowOff>114300</xdr:rowOff>
    </xdr:from>
    <xdr:to>
      <xdr:col>8</xdr:col>
      <xdr:colOff>133350</xdr:colOff>
      <xdr:row>473</xdr:row>
      <xdr:rowOff>133350</xdr:rowOff>
    </xdr:to>
    <xdr:sp macro="" textlink="">
      <xdr:nvSpPr>
        <xdr:cNvPr id="475" name="Oval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5438775" y="96526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474</xdr:row>
      <xdr:rowOff>57150</xdr:rowOff>
    </xdr:from>
    <xdr:to>
      <xdr:col>8</xdr:col>
      <xdr:colOff>161925</xdr:colOff>
      <xdr:row>474</xdr:row>
      <xdr:rowOff>76200</xdr:rowOff>
    </xdr:to>
    <xdr:sp macro="" textlink="">
      <xdr:nvSpPr>
        <xdr:cNvPr id="476" name="Oval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96669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466725</xdr:colOff>
      <xdr:row>473</xdr:row>
      <xdr:rowOff>190500</xdr:rowOff>
    </xdr:from>
    <xdr:to>
      <xdr:col>2</xdr:col>
      <xdr:colOff>485775</xdr:colOff>
      <xdr:row>474</xdr:row>
      <xdr:rowOff>9525</xdr:rowOff>
    </xdr:to>
    <xdr:sp macro="" textlink="">
      <xdr:nvSpPr>
        <xdr:cNvPr id="477" name="Oval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562100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542925</xdr:colOff>
      <xdr:row>474</xdr:row>
      <xdr:rowOff>0</xdr:rowOff>
    </xdr:from>
    <xdr:to>
      <xdr:col>2</xdr:col>
      <xdr:colOff>561975</xdr:colOff>
      <xdr:row>474</xdr:row>
      <xdr:rowOff>19050</xdr:rowOff>
    </xdr:to>
    <xdr:sp macro="" textlink="">
      <xdr:nvSpPr>
        <xdr:cNvPr id="478" name="Oval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733425</xdr:colOff>
      <xdr:row>474</xdr:row>
      <xdr:rowOff>28575</xdr:rowOff>
    </xdr:from>
    <xdr:to>
      <xdr:col>2</xdr:col>
      <xdr:colOff>752475</xdr:colOff>
      <xdr:row>474</xdr:row>
      <xdr:rowOff>47625</xdr:rowOff>
    </xdr:to>
    <xdr:sp macro="" textlink="">
      <xdr:nvSpPr>
        <xdr:cNvPr id="479" name="Oval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809625</xdr:colOff>
      <xdr:row>473</xdr:row>
      <xdr:rowOff>190500</xdr:rowOff>
    </xdr:from>
    <xdr:to>
      <xdr:col>3</xdr:col>
      <xdr:colOff>0</xdr:colOff>
      <xdr:row>474</xdr:row>
      <xdr:rowOff>9525</xdr:rowOff>
    </xdr:to>
    <xdr:sp macro="" textlink="">
      <xdr:nvSpPr>
        <xdr:cNvPr id="480" name="Oval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</xdr:colOff>
      <xdr:row>474</xdr:row>
      <xdr:rowOff>28575</xdr:rowOff>
    </xdr:from>
    <xdr:to>
      <xdr:col>3</xdr:col>
      <xdr:colOff>171450</xdr:colOff>
      <xdr:row>474</xdr:row>
      <xdr:rowOff>47625</xdr:rowOff>
    </xdr:to>
    <xdr:sp macro="" textlink="">
      <xdr:nvSpPr>
        <xdr:cNvPr id="481" name="Oval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20764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474</xdr:row>
      <xdr:rowOff>38100</xdr:rowOff>
    </xdr:from>
    <xdr:to>
      <xdr:col>3</xdr:col>
      <xdr:colOff>285750</xdr:colOff>
      <xdr:row>474</xdr:row>
      <xdr:rowOff>57150</xdr:rowOff>
    </xdr:to>
    <xdr:sp macro="" textlink="">
      <xdr:nvSpPr>
        <xdr:cNvPr id="482" name="Oval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428625</xdr:colOff>
      <xdr:row>473</xdr:row>
      <xdr:rowOff>190500</xdr:rowOff>
    </xdr:from>
    <xdr:to>
      <xdr:col>3</xdr:col>
      <xdr:colOff>447675</xdr:colOff>
      <xdr:row>474</xdr:row>
      <xdr:rowOff>9525</xdr:rowOff>
    </xdr:to>
    <xdr:sp macro="" textlink="">
      <xdr:nvSpPr>
        <xdr:cNvPr id="483" name="Oval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474</xdr:row>
      <xdr:rowOff>38100</xdr:rowOff>
    </xdr:from>
    <xdr:to>
      <xdr:col>3</xdr:col>
      <xdr:colOff>552450</xdr:colOff>
      <xdr:row>474</xdr:row>
      <xdr:rowOff>57150</xdr:rowOff>
    </xdr:to>
    <xdr:sp macro="" textlink="">
      <xdr:nvSpPr>
        <xdr:cNvPr id="484" name="Oval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2457450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76200</xdr:colOff>
      <xdr:row>474</xdr:row>
      <xdr:rowOff>9525</xdr:rowOff>
    </xdr:from>
    <xdr:to>
      <xdr:col>4</xdr:col>
      <xdr:colOff>95250</xdr:colOff>
      <xdr:row>474</xdr:row>
      <xdr:rowOff>28575</xdr:rowOff>
    </xdr:to>
    <xdr:sp macro="" textlink="">
      <xdr:nvSpPr>
        <xdr:cNvPr id="485" name="Oval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2571750" y="96621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474</xdr:row>
      <xdr:rowOff>28575</xdr:rowOff>
    </xdr:from>
    <xdr:to>
      <xdr:col>4</xdr:col>
      <xdr:colOff>209550</xdr:colOff>
      <xdr:row>474</xdr:row>
      <xdr:rowOff>47625</xdr:rowOff>
    </xdr:to>
    <xdr:sp macro="" textlink="">
      <xdr:nvSpPr>
        <xdr:cNvPr id="486" name="Oval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26860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474</xdr:row>
      <xdr:rowOff>9525</xdr:rowOff>
    </xdr:from>
    <xdr:to>
      <xdr:col>4</xdr:col>
      <xdr:colOff>352425</xdr:colOff>
      <xdr:row>474</xdr:row>
      <xdr:rowOff>28575</xdr:rowOff>
    </xdr:to>
    <xdr:sp macro="" textlink="">
      <xdr:nvSpPr>
        <xdr:cNvPr id="487" name="Oval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2828925" y="96621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457200</xdr:colOff>
      <xdr:row>474</xdr:row>
      <xdr:rowOff>28575</xdr:rowOff>
    </xdr:from>
    <xdr:to>
      <xdr:col>4</xdr:col>
      <xdr:colOff>476250</xdr:colOff>
      <xdr:row>474</xdr:row>
      <xdr:rowOff>47625</xdr:rowOff>
    </xdr:to>
    <xdr:sp macro="" textlink="">
      <xdr:nvSpPr>
        <xdr:cNvPr id="488" name="Oval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609600</xdr:colOff>
      <xdr:row>474</xdr:row>
      <xdr:rowOff>0</xdr:rowOff>
    </xdr:from>
    <xdr:to>
      <xdr:col>4</xdr:col>
      <xdr:colOff>628650</xdr:colOff>
      <xdr:row>474</xdr:row>
      <xdr:rowOff>19050</xdr:rowOff>
    </xdr:to>
    <xdr:sp macro="" textlink="">
      <xdr:nvSpPr>
        <xdr:cNvPr id="489" name="Oval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473</xdr:row>
      <xdr:rowOff>190500</xdr:rowOff>
    </xdr:from>
    <xdr:to>
      <xdr:col>5</xdr:col>
      <xdr:colOff>76200</xdr:colOff>
      <xdr:row>474</xdr:row>
      <xdr:rowOff>9525</xdr:rowOff>
    </xdr:to>
    <xdr:sp macro="" textlink="">
      <xdr:nvSpPr>
        <xdr:cNvPr id="490" name="Oval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3257550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474</xdr:row>
      <xdr:rowOff>0</xdr:rowOff>
    </xdr:from>
    <xdr:to>
      <xdr:col>5</xdr:col>
      <xdr:colOff>209550</xdr:colOff>
      <xdr:row>474</xdr:row>
      <xdr:rowOff>19050</xdr:rowOff>
    </xdr:to>
    <xdr:sp macro="" textlink="">
      <xdr:nvSpPr>
        <xdr:cNvPr id="491" name="Oval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339090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342900</xdr:colOff>
      <xdr:row>474</xdr:row>
      <xdr:rowOff>0</xdr:rowOff>
    </xdr:from>
    <xdr:to>
      <xdr:col>5</xdr:col>
      <xdr:colOff>361950</xdr:colOff>
      <xdr:row>474</xdr:row>
      <xdr:rowOff>19050</xdr:rowOff>
    </xdr:to>
    <xdr:sp macro="" textlink="">
      <xdr:nvSpPr>
        <xdr:cNvPr id="492" name="Oval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354330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474</xdr:row>
      <xdr:rowOff>28575</xdr:rowOff>
    </xdr:from>
    <xdr:to>
      <xdr:col>5</xdr:col>
      <xdr:colOff>485775</xdr:colOff>
      <xdr:row>474</xdr:row>
      <xdr:rowOff>47625</xdr:rowOff>
    </xdr:to>
    <xdr:sp macro="" textlink="">
      <xdr:nvSpPr>
        <xdr:cNvPr id="493" name="Oval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609600</xdr:colOff>
      <xdr:row>474</xdr:row>
      <xdr:rowOff>9525</xdr:rowOff>
    </xdr:from>
    <xdr:to>
      <xdr:col>5</xdr:col>
      <xdr:colOff>628650</xdr:colOff>
      <xdr:row>474</xdr:row>
      <xdr:rowOff>28575</xdr:rowOff>
    </xdr:to>
    <xdr:sp macro="" textlink="">
      <xdr:nvSpPr>
        <xdr:cNvPr id="494" name="Oval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6621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474</xdr:row>
      <xdr:rowOff>38100</xdr:rowOff>
    </xdr:from>
    <xdr:to>
      <xdr:col>6</xdr:col>
      <xdr:colOff>76200</xdr:colOff>
      <xdr:row>474</xdr:row>
      <xdr:rowOff>57150</xdr:rowOff>
    </xdr:to>
    <xdr:sp macro="" textlink="">
      <xdr:nvSpPr>
        <xdr:cNvPr id="495" name="Oval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474</xdr:row>
      <xdr:rowOff>0</xdr:rowOff>
    </xdr:from>
    <xdr:to>
      <xdr:col>6</xdr:col>
      <xdr:colOff>228600</xdr:colOff>
      <xdr:row>474</xdr:row>
      <xdr:rowOff>19050</xdr:rowOff>
    </xdr:to>
    <xdr:sp macro="" textlink="">
      <xdr:nvSpPr>
        <xdr:cNvPr id="496" name="Oval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361950</xdr:colOff>
      <xdr:row>474</xdr:row>
      <xdr:rowOff>28575</xdr:rowOff>
    </xdr:from>
    <xdr:to>
      <xdr:col>6</xdr:col>
      <xdr:colOff>381000</xdr:colOff>
      <xdr:row>474</xdr:row>
      <xdr:rowOff>47625</xdr:rowOff>
    </xdr:to>
    <xdr:sp macro="" textlink="">
      <xdr:nvSpPr>
        <xdr:cNvPr id="497" name="Oval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495300</xdr:colOff>
      <xdr:row>474</xdr:row>
      <xdr:rowOff>28575</xdr:rowOff>
    </xdr:from>
    <xdr:to>
      <xdr:col>6</xdr:col>
      <xdr:colOff>514350</xdr:colOff>
      <xdr:row>474</xdr:row>
      <xdr:rowOff>47625</xdr:rowOff>
    </xdr:to>
    <xdr:sp macro="" textlink="">
      <xdr:nvSpPr>
        <xdr:cNvPr id="498" name="Oval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44005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647700</xdr:colOff>
      <xdr:row>474</xdr:row>
      <xdr:rowOff>0</xdr:rowOff>
    </xdr:from>
    <xdr:to>
      <xdr:col>6</xdr:col>
      <xdr:colOff>666750</xdr:colOff>
      <xdr:row>474</xdr:row>
      <xdr:rowOff>19050</xdr:rowOff>
    </xdr:to>
    <xdr:sp macro="" textlink="">
      <xdr:nvSpPr>
        <xdr:cNvPr id="499" name="Oval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474</xdr:row>
      <xdr:rowOff>38100</xdr:rowOff>
    </xdr:from>
    <xdr:to>
      <xdr:col>7</xdr:col>
      <xdr:colOff>28575</xdr:colOff>
      <xdr:row>474</xdr:row>
      <xdr:rowOff>57150</xdr:rowOff>
    </xdr:to>
    <xdr:sp macro="" textlink="">
      <xdr:nvSpPr>
        <xdr:cNvPr id="500" name="Oval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152400</xdr:colOff>
      <xdr:row>474</xdr:row>
      <xdr:rowOff>0</xdr:rowOff>
    </xdr:from>
    <xdr:to>
      <xdr:col>7</xdr:col>
      <xdr:colOff>171450</xdr:colOff>
      <xdr:row>474</xdr:row>
      <xdr:rowOff>19050</xdr:rowOff>
    </xdr:to>
    <xdr:sp macro="" textlink="">
      <xdr:nvSpPr>
        <xdr:cNvPr id="501" name="Oval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4829175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304800</xdr:colOff>
      <xdr:row>474</xdr:row>
      <xdr:rowOff>0</xdr:rowOff>
    </xdr:from>
    <xdr:to>
      <xdr:col>7</xdr:col>
      <xdr:colOff>323850</xdr:colOff>
      <xdr:row>474</xdr:row>
      <xdr:rowOff>19050</xdr:rowOff>
    </xdr:to>
    <xdr:sp macro="" textlink="">
      <xdr:nvSpPr>
        <xdr:cNvPr id="502" name="Oval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4981575" y="96612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409575</xdr:colOff>
      <xdr:row>473</xdr:row>
      <xdr:rowOff>190500</xdr:rowOff>
    </xdr:from>
    <xdr:to>
      <xdr:col>7</xdr:col>
      <xdr:colOff>428625</xdr:colOff>
      <xdr:row>474</xdr:row>
      <xdr:rowOff>9525</xdr:rowOff>
    </xdr:to>
    <xdr:sp macro="" textlink="">
      <xdr:nvSpPr>
        <xdr:cNvPr id="503" name="Oval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5086350" y="966025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561975</xdr:colOff>
      <xdr:row>474</xdr:row>
      <xdr:rowOff>28575</xdr:rowOff>
    </xdr:from>
    <xdr:to>
      <xdr:col>7</xdr:col>
      <xdr:colOff>581025</xdr:colOff>
      <xdr:row>474</xdr:row>
      <xdr:rowOff>47625</xdr:rowOff>
    </xdr:to>
    <xdr:sp macro="" textlink="">
      <xdr:nvSpPr>
        <xdr:cNvPr id="504" name="Oval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5238750" y="96640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</xdr:colOff>
      <xdr:row>474</xdr:row>
      <xdr:rowOff>38100</xdr:rowOff>
    </xdr:from>
    <xdr:to>
      <xdr:col>8</xdr:col>
      <xdr:colOff>66675</xdr:colOff>
      <xdr:row>474</xdr:row>
      <xdr:rowOff>57150</xdr:rowOff>
    </xdr:to>
    <xdr:sp macro="" textlink="">
      <xdr:nvSpPr>
        <xdr:cNvPr id="505" name="Oval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5372100" y="96650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409575</xdr:colOff>
      <xdr:row>474</xdr:row>
      <xdr:rowOff>66675</xdr:rowOff>
    </xdr:from>
    <xdr:to>
      <xdr:col>7</xdr:col>
      <xdr:colOff>428625</xdr:colOff>
      <xdr:row>474</xdr:row>
      <xdr:rowOff>85725</xdr:rowOff>
    </xdr:to>
    <xdr:sp macro="" textlink="">
      <xdr:nvSpPr>
        <xdr:cNvPr id="506" name="Oval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5086350" y="96678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464</xdr:row>
      <xdr:rowOff>142875</xdr:rowOff>
    </xdr:from>
    <xdr:to>
      <xdr:col>2</xdr:col>
      <xdr:colOff>466725</xdr:colOff>
      <xdr:row>464</xdr:row>
      <xdr:rowOff>161925</xdr:rowOff>
    </xdr:to>
    <xdr:sp macro="" textlink="">
      <xdr:nvSpPr>
        <xdr:cNvPr id="507" name="Oval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543050" y="94754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542925</xdr:colOff>
      <xdr:row>464</xdr:row>
      <xdr:rowOff>142875</xdr:rowOff>
    </xdr:from>
    <xdr:to>
      <xdr:col>2</xdr:col>
      <xdr:colOff>561975</xdr:colOff>
      <xdr:row>464</xdr:row>
      <xdr:rowOff>161925</xdr:rowOff>
    </xdr:to>
    <xdr:sp macro="" textlink="">
      <xdr:nvSpPr>
        <xdr:cNvPr id="508" name="Oval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4754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464</xdr:row>
      <xdr:rowOff>152400</xdr:rowOff>
    </xdr:from>
    <xdr:to>
      <xdr:col>2</xdr:col>
      <xdr:colOff>666750</xdr:colOff>
      <xdr:row>464</xdr:row>
      <xdr:rowOff>171450</xdr:rowOff>
    </xdr:to>
    <xdr:sp macro="" textlink="">
      <xdr:nvSpPr>
        <xdr:cNvPr id="509" name="Oval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743075" y="94764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466725</xdr:colOff>
      <xdr:row>465</xdr:row>
      <xdr:rowOff>28575</xdr:rowOff>
    </xdr:from>
    <xdr:to>
      <xdr:col>2</xdr:col>
      <xdr:colOff>485775</xdr:colOff>
      <xdr:row>465</xdr:row>
      <xdr:rowOff>47625</xdr:rowOff>
    </xdr:to>
    <xdr:sp macro="" textlink="">
      <xdr:nvSpPr>
        <xdr:cNvPr id="510" name="Oval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562100" y="94840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581025</xdr:colOff>
      <xdr:row>465</xdr:row>
      <xdr:rowOff>38100</xdr:rowOff>
    </xdr:from>
    <xdr:to>
      <xdr:col>2</xdr:col>
      <xdr:colOff>600075</xdr:colOff>
      <xdr:row>465</xdr:row>
      <xdr:rowOff>57150</xdr:rowOff>
    </xdr:to>
    <xdr:sp macro="" textlink="">
      <xdr:nvSpPr>
        <xdr:cNvPr id="511" name="Oval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94849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465</xdr:row>
      <xdr:rowOff>85725</xdr:rowOff>
    </xdr:from>
    <xdr:to>
      <xdr:col>2</xdr:col>
      <xdr:colOff>514350</xdr:colOff>
      <xdr:row>465</xdr:row>
      <xdr:rowOff>104775</xdr:rowOff>
    </xdr:to>
    <xdr:sp macro="" textlink="">
      <xdr:nvSpPr>
        <xdr:cNvPr id="512" name="Oval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590675" y="94897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638175</xdr:colOff>
      <xdr:row>465</xdr:row>
      <xdr:rowOff>9525</xdr:rowOff>
    </xdr:from>
    <xdr:to>
      <xdr:col>2</xdr:col>
      <xdr:colOff>657225</xdr:colOff>
      <xdr:row>465</xdr:row>
      <xdr:rowOff>28575</xdr:rowOff>
    </xdr:to>
    <xdr:sp macro="" textlink="">
      <xdr:nvSpPr>
        <xdr:cNvPr id="513" name="Oval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4821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465</xdr:row>
      <xdr:rowOff>28575</xdr:rowOff>
    </xdr:from>
    <xdr:to>
      <xdr:col>2</xdr:col>
      <xdr:colOff>552450</xdr:colOff>
      <xdr:row>465</xdr:row>
      <xdr:rowOff>47625</xdr:rowOff>
    </xdr:to>
    <xdr:sp macro="" textlink="">
      <xdr:nvSpPr>
        <xdr:cNvPr id="514" name="Oval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94840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581025</xdr:colOff>
      <xdr:row>465</xdr:row>
      <xdr:rowOff>152400</xdr:rowOff>
    </xdr:from>
    <xdr:to>
      <xdr:col>2</xdr:col>
      <xdr:colOff>600075</xdr:colOff>
      <xdr:row>465</xdr:row>
      <xdr:rowOff>171450</xdr:rowOff>
    </xdr:to>
    <xdr:sp macro="" textlink="">
      <xdr:nvSpPr>
        <xdr:cNvPr id="515" name="Oval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94964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465</xdr:row>
      <xdr:rowOff>123825</xdr:rowOff>
    </xdr:from>
    <xdr:to>
      <xdr:col>2</xdr:col>
      <xdr:colOff>628650</xdr:colOff>
      <xdr:row>465</xdr:row>
      <xdr:rowOff>142875</xdr:rowOff>
    </xdr:to>
    <xdr:sp macro="" textlink="">
      <xdr:nvSpPr>
        <xdr:cNvPr id="516" name="Oval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704975" y="949356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465</xdr:row>
      <xdr:rowOff>180975</xdr:rowOff>
    </xdr:from>
    <xdr:to>
      <xdr:col>2</xdr:col>
      <xdr:colOff>476250</xdr:colOff>
      <xdr:row>466</xdr:row>
      <xdr:rowOff>0</xdr:rowOff>
    </xdr:to>
    <xdr:sp macro="" textlink="">
      <xdr:nvSpPr>
        <xdr:cNvPr id="517" name="Oval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552575" y="94992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465</xdr:row>
      <xdr:rowOff>152400</xdr:rowOff>
    </xdr:from>
    <xdr:to>
      <xdr:col>2</xdr:col>
      <xdr:colOff>542925</xdr:colOff>
      <xdr:row>465</xdr:row>
      <xdr:rowOff>171450</xdr:rowOff>
    </xdr:to>
    <xdr:sp macro="" textlink="">
      <xdr:nvSpPr>
        <xdr:cNvPr id="518" name="Oval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94964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466</xdr:row>
      <xdr:rowOff>9525</xdr:rowOff>
    </xdr:from>
    <xdr:to>
      <xdr:col>2</xdr:col>
      <xdr:colOff>666750</xdr:colOff>
      <xdr:row>466</xdr:row>
      <xdr:rowOff>28575</xdr:rowOff>
    </xdr:to>
    <xdr:sp macro="" textlink="">
      <xdr:nvSpPr>
        <xdr:cNvPr id="519" name="Oval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743075" y="95021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466</xdr:row>
      <xdr:rowOff>38100</xdr:rowOff>
    </xdr:from>
    <xdr:to>
      <xdr:col>2</xdr:col>
      <xdr:colOff>476250</xdr:colOff>
      <xdr:row>466</xdr:row>
      <xdr:rowOff>57150</xdr:rowOff>
    </xdr:to>
    <xdr:sp macro="" textlink="">
      <xdr:nvSpPr>
        <xdr:cNvPr id="520" name="Oval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552575" y="95049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466</xdr:row>
      <xdr:rowOff>9525</xdr:rowOff>
    </xdr:from>
    <xdr:to>
      <xdr:col>2</xdr:col>
      <xdr:colOff>552450</xdr:colOff>
      <xdr:row>466</xdr:row>
      <xdr:rowOff>28575</xdr:rowOff>
    </xdr:to>
    <xdr:sp macro="" textlink="">
      <xdr:nvSpPr>
        <xdr:cNvPr id="521" name="Oval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95021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581025</xdr:colOff>
      <xdr:row>466</xdr:row>
      <xdr:rowOff>85725</xdr:rowOff>
    </xdr:from>
    <xdr:to>
      <xdr:col>2</xdr:col>
      <xdr:colOff>600075</xdr:colOff>
      <xdr:row>466</xdr:row>
      <xdr:rowOff>104775</xdr:rowOff>
    </xdr:to>
    <xdr:sp macro="" textlink="">
      <xdr:nvSpPr>
        <xdr:cNvPr id="522" name="Oval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676400" y="95097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466</xdr:row>
      <xdr:rowOff>114300</xdr:rowOff>
    </xdr:from>
    <xdr:to>
      <xdr:col>2</xdr:col>
      <xdr:colOff>542925</xdr:colOff>
      <xdr:row>466</xdr:row>
      <xdr:rowOff>133350</xdr:rowOff>
    </xdr:to>
    <xdr:sp macro="" textlink="">
      <xdr:nvSpPr>
        <xdr:cNvPr id="523" name="Oval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95126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638175</xdr:colOff>
      <xdr:row>466</xdr:row>
      <xdr:rowOff>152400</xdr:rowOff>
    </xdr:from>
    <xdr:to>
      <xdr:col>2</xdr:col>
      <xdr:colOff>657225</xdr:colOff>
      <xdr:row>466</xdr:row>
      <xdr:rowOff>171450</xdr:rowOff>
    </xdr:to>
    <xdr:sp macro="" textlink="">
      <xdr:nvSpPr>
        <xdr:cNvPr id="524" name="Oval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164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466</xdr:row>
      <xdr:rowOff>123825</xdr:rowOff>
    </xdr:from>
    <xdr:to>
      <xdr:col>2</xdr:col>
      <xdr:colOff>476250</xdr:colOff>
      <xdr:row>466</xdr:row>
      <xdr:rowOff>142875</xdr:rowOff>
    </xdr:to>
    <xdr:sp macro="" textlink="">
      <xdr:nvSpPr>
        <xdr:cNvPr id="525" name="Oval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552575" y="95135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466725</xdr:colOff>
      <xdr:row>466</xdr:row>
      <xdr:rowOff>190500</xdr:rowOff>
    </xdr:from>
    <xdr:to>
      <xdr:col>2</xdr:col>
      <xdr:colOff>485775</xdr:colOff>
      <xdr:row>467</xdr:row>
      <xdr:rowOff>9525</xdr:rowOff>
    </xdr:to>
    <xdr:sp macro="" textlink="">
      <xdr:nvSpPr>
        <xdr:cNvPr id="526" name="Oval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562100" y="95202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467</xdr:row>
      <xdr:rowOff>28575</xdr:rowOff>
    </xdr:from>
    <xdr:to>
      <xdr:col>2</xdr:col>
      <xdr:colOff>542925</xdr:colOff>
      <xdr:row>467</xdr:row>
      <xdr:rowOff>47625</xdr:rowOff>
    </xdr:to>
    <xdr:sp macro="" textlink="">
      <xdr:nvSpPr>
        <xdr:cNvPr id="527" name="Oval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95240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467</xdr:row>
      <xdr:rowOff>47625</xdr:rowOff>
    </xdr:from>
    <xdr:to>
      <xdr:col>2</xdr:col>
      <xdr:colOff>628650</xdr:colOff>
      <xdr:row>467</xdr:row>
      <xdr:rowOff>66675</xdr:rowOff>
    </xdr:to>
    <xdr:sp macro="" textlink="">
      <xdr:nvSpPr>
        <xdr:cNvPr id="528" name="Oval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704975" y="95259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542925</xdr:colOff>
      <xdr:row>466</xdr:row>
      <xdr:rowOff>180975</xdr:rowOff>
    </xdr:from>
    <xdr:to>
      <xdr:col>2</xdr:col>
      <xdr:colOff>561975</xdr:colOff>
      <xdr:row>467</xdr:row>
      <xdr:rowOff>0</xdr:rowOff>
    </xdr:to>
    <xdr:sp macro="" textlink="">
      <xdr:nvSpPr>
        <xdr:cNvPr id="529" name="Oval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467</xdr:row>
      <xdr:rowOff>85725</xdr:rowOff>
    </xdr:from>
    <xdr:to>
      <xdr:col>2</xdr:col>
      <xdr:colOff>476250</xdr:colOff>
      <xdr:row>467</xdr:row>
      <xdr:rowOff>104775</xdr:rowOff>
    </xdr:to>
    <xdr:sp macro="" textlink="">
      <xdr:nvSpPr>
        <xdr:cNvPr id="530" name="Oval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552575" y="95297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468</xdr:row>
      <xdr:rowOff>38100</xdr:rowOff>
    </xdr:from>
    <xdr:to>
      <xdr:col>2</xdr:col>
      <xdr:colOff>628650</xdr:colOff>
      <xdr:row>468</xdr:row>
      <xdr:rowOff>57150</xdr:rowOff>
    </xdr:to>
    <xdr:sp macro="" textlink="">
      <xdr:nvSpPr>
        <xdr:cNvPr id="531" name="Oval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704975" y="954500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467</xdr:row>
      <xdr:rowOff>142875</xdr:rowOff>
    </xdr:from>
    <xdr:to>
      <xdr:col>2</xdr:col>
      <xdr:colOff>581025</xdr:colOff>
      <xdr:row>467</xdr:row>
      <xdr:rowOff>161925</xdr:rowOff>
    </xdr:to>
    <xdr:sp macro="" textlink="">
      <xdr:nvSpPr>
        <xdr:cNvPr id="532" name="Oval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657350" y="953547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619125</xdr:colOff>
      <xdr:row>467</xdr:row>
      <xdr:rowOff>152400</xdr:rowOff>
    </xdr:from>
    <xdr:to>
      <xdr:col>2</xdr:col>
      <xdr:colOff>638175</xdr:colOff>
      <xdr:row>467</xdr:row>
      <xdr:rowOff>171450</xdr:rowOff>
    </xdr:to>
    <xdr:sp macro="" textlink="">
      <xdr:nvSpPr>
        <xdr:cNvPr id="533" name="Oval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714500" y="953643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467</xdr:row>
      <xdr:rowOff>152400</xdr:rowOff>
    </xdr:from>
    <xdr:to>
      <xdr:col>2</xdr:col>
      <xdr:colOff>476250</xdr:colOff>
      <xdr:row>467</xdr:row>
      <xdr:rowOff>171450</xdr:rowOff>
    </xdr:to>
    <xdr:sp macro="" textlink="">
      <xdr:nvSpPr>
        <xdr:cNvPr id="534" name="Oval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552575" y="953643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468</xdr:row>
      <xdr:rowOff>28575</xdr:rowOff>
    </xdr:from>
    <xdr:to>
      <xdr:col>2</xdr:col>
      <xdr:colOff>523875</xdr:colOff>
      <xdr:row>468</xdr:row>
      <xdr:rowOff>47625</xdr:rowOff>
    </xdr:to>
    <xdr:sp macro="" textlink="">
      <xdr:nvSpPr>
        <xdr:cNvPr id="535" name="Oval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95440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468</xdr:row>
      <xdr:rowOff>38100</xdr:rowOff>
    </xdr:from>
    <xdr:to>
      <xdr:col>2</xdr:col>
      <xdr:colOff>466725</xdr:colOff>
      <xdr:row>468</xdr:row>
      <xdr:rowOff>57150</xdr:rowOff>
    </xdr:to>
    <xdr:sp macro="" textlink="">
      <xdr:nvSpPr>
        <xdr:cNvPr id="536" name="Oval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543050" y="954500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571500</xdr:colOff>
      <xdr:row>468</xdr:row>
      <xdr:rowOff>85725</xdr:rowOff>
    </xdr:from>
    <xdr:to>
      <xdr:col>2</xdr:col>
      <xdr:colOff>590550</xdr:colOff>
      <xdr:row>468</xdr:row>
      <xdr:rowOff>104775</xdr:rowOff>
    </xdr:to>
    <xdr:sp macro="" textlink="">
      <xdr:nvSpPr>
        <xdr:cNvPr id="537" name="Oval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666875" y="95497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468</xdr:row>
      <xdr:rowOff>114300</xdr:rowOff>
    </xdr:from>
    <xdr:to>
      <xdr:col>2</xdr:col>
      <xdr:colOff>514350</xdr:colOff>
      <xdr:row>468</xdr:row>
      <xdr:rowOff>133350</xdr:rowOff>
    </xdr:to>
    <xdr:sp macro="" textlink="">
      <xdr:nvSpPr>
        <xdr:cNvPr id="538" name="Oval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590675" y="95526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638175</xdr:colOff>
      <xdr:row>468</xdr:row>
      <xdr:rowOff>142875</xdr:rowOff>
    </xdr:from>
    <xdr:to>
      <xdr:col>2</xdr:col>
      <xdr:colOff>657225</xdr:colOff>
      <xdr:row>468</xdr:row>
      <xdr:rowOff>161925</xdr:rowOff>
    </xdr:to>
    <xdr:sp macro="" textlink="">
      <xdr:nvSpPr>
        <xdr:cNvPr id="539" name="Oval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554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468</xdr:row>
      <xdr:rowOff>142875</xdr:rowOff>
    </xdr:from>
    <xdr:to>
      <xdr:col>2</xdr:col>
      <xdr:colOff>466725</xdr:colOff>
      <xdr:row>468</xdr:row>
      <xdr:rowOff>161925</xdr:rowOff>
    </xdr:to>
    <xdr:sp macro="" textlink="">
      <xdr:nvSpPr>
        <xdr:cNvPr id="540" name="Oval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543050" y="95554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468</xdr:row>
      <xdr:rowOff>152400</xdr:rowOff>
    </xdr:from>
    <xdr:to>
      <xdr:col>2</xdr:col>
      <xdr:colOff>581025</xdr:colOff>
      <xdr:row>468</xdr:row>
      <xdr:rowOff>171450</xdr:rowOff>
    </xdr:to>
    <xdr:sp macro="" textlink="">
      <xdr:nvSpPr>
        <xdr:cNvPr id="541" name="Oval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657350" y="95564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468</xdr:row>
      <xdr:rowOff>190500</xdr:rowOff>
    </xdr:from>
    <xdr:to>
      <xdr:col>2</xdr:col>
      <xdr:colOff>504825</xdr:colOff>
      <xdr:row>469</xdr:row>
      <xdr:rowOff>9525</xdr:rowOff>
    </xdr:to>
    <xdr:sp macro="" textlink="">
      <xdr:nvSpPr>
        <xdr:cNvPr id="542" name="Oval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581150" y="95602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638175</xdr:colOff>
      <xdr:row>469</xdr:row>
      <xdr:rowOff>38100</xdr:rowOff>
    </xdr:from>
    <xdr:to>
      <xdr:col>2</xdr:col>
      <xdr:colOff>657225</xdr:colOff>
      <xdr:row>469</xdr:row>
      <xdr:rowOff>57150</xdr:rowOff>
    </xdr:to>
    <xdr:sp macro="" textlink="">
      <xdr:nvSpPr>
        <xdr:cNvPr id="543" name="Oval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650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542925</xdr:colOff>
      <xdr:row>469</xdr:row>
      <xdr:rowOff>38100</xdr:rowOff>
    </xdr:from>
    <xdr:to>
      <xdr:col>2</xdr:col>
      <xdr:colOff>561975</xdr:colOff>
      <xdr:row>469</xdr:row>
      <xdr:rowOff>57150</xdr:rowOff>
    </xdr:to>
    <xdr:sp macro="" textlink="">
      <xdr:nvSpPr>
        <xdr:cNvPr id="544" name="Oval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5650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469</xdr:row>
      <xdr:rowOff>38100</xdr:rowOff>
    </xdr:from>
    <xdr:to>
      <xdr:col>2</xdr:col>
      <xdr:colOff>466725</xdr:colOff>
      <xdr:row>469</xdr:row>
      <xdr:rowOff>57150</xdr:rowOff>
    </xdr:to>
    <xdr:sp macro="" textlink="">
      <xdr:nvSpPr>
        <xdr:cNvPr id="545" name="Oval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543050" y="95650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469</xdr:row>
      <xdr:rowOff>104775</xdr:rowOff>
    </xdr:from>
    <xdr:to>
      <xdr:col>2</xdr:col>
      <xdr:colOff>514350</xdr:colOff>
      <xdr:row>469</xdr:row>
      <xdr:rowOff>123825</xdr:rowOff>
    </xdr:to>
    <xdr:sp macro="" textlink="">
      <xdr:nvSpPr>
        <xdr:cNvPr id="546" name="Oval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590675" y="957167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469</xdr:row>
      <xdr:rowOff>114300</xdr:rowOff>
    </xdr:from>
    <xdr:to>
      <xdr:col>2</xdr:col>
      <xdr:colOff>628650</xdr:colOff>
      <xdr:row>469</xdr:row>
      <xdr:rowOff>133350</xdr:rowOff>
    </xdr:to>
    <xdr:sp macro="" textlink="">
      <xdr:nvSpPr>
        <xdr:cNvPr id="547" name="Oval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704975" y="95726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464</xdr:row>
      <xdr:rowOff>152400</xdr:rowOff>
    </xdr:from>
    <xdr:to>
      <xdr:col>4</xdr:col>
      <xdr:colOff>552450</xdr:colOff>
      <xdr:row>464</xdr:row>
      <xdr:rowOff>171450</xdr:rowOff>
    </xdr:to>
    <xdr:sp macro="" textlink="">
      <xdr:nvSpPr>
        <xdr:cNvPr id="548" name="Oval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3028950" y="94764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628650</xdr:colOff>
      <xdr:row>464</xdr:row>
      <xdr:rowOff>152400</xdr:rowOff>
    </xdr:from>
    <xdr:to>
      <xdr:col>4</xdr:col>
      <xdr:colOff>647700</xdr:colOff>
      <xdr:row>464</xdr:row>
      <xdr:rowOff>171450</xdr:rowOff>
    </xdr:to>
    <xdr:sp macro="" textlink="">
      <xdr:nvSpPr>
        <xdr:cNvPr id="549" name="Oval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3124200" y="94764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464</xdr:row>
      <xdr:rowOff>161925</xdr:rowOff>
    </xdr:from>
    <xdr:to>
      <xdr:col>5</xdr:col>
      <xdr:colOff>47625</xdr:colOff>
      <xdr:row>464</xdr:row>
      <xdr:rowOff>180975</xdr:rowOff>
    </xdr:to>
    <xdr:sp macro="" textlink="">
      <xdr:nvSpPr>
        <xdr:cNvPr id="550" name="Oval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4773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465</xdr:row>
      <xdr:rowOff>95250</xdr:rowOff>
    </xdr:from>
    <xdr:to>
      <xdr:col>4</xdr:col>
      <xdr:colOff>600075</xdr:colOff>
      <xdr:row>465</xdr:row>
      <xdr:rowOff>114300</xdr:rowOff>
    </xdr:to>
    <xdr:sp macro="" textlink="">
      <xdr:nvSpPr>
        <xdr:cNvPr id="551" name="Oval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3076575" y="94907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465</xdr:row>
      <xdr:rowOff>133350</xdr:rowOff>
    </xdr:from>
    <xdr:to>
      <xdr:col>5</xdr:col>
      <xdr:colOff>9525</xdr:colOff>
      <xdr:row>465</xdr:row>
      <xdr:rowOff>152400</xdr:rowOff>
    </xdr:to>
    <xdr:sp macro="" textlink="">
      <xdr:nvSpPr>
        <xdr:cNvPr id="552" name="Oval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949452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609600</xdr:colOff>
      <xdr:row>466</xdr:row>
      <xdr:rowOff>123825</xdr:rowOff>
    </xdr:from>
    <xdr:to>
      <xdr:col>4</xdr:col>
      <xdr:colOff>628650</xdr:colOff>
      <xdr:row>466</xdr:row>
      <xdr:rowOff>142875</xdr:rowOff>
    </xdr:to>
    <xdr:sp macro="" textlink="">
      <xdr:nvSpPr>
        <xdr:cNvPr id="553" name="Oval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95135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466</xdr:row>
      <xdr:rowOff>161925</xdr:rowOff>
    </xdr:from>
    <xdr:to>
      <xdr:col>5</xdr:col>
      <xdr:colOff>38100</xdr:colOff>
      <xdr:row>466</xdr:row>
      <xdr:rowOff>180975</xdr:rowOff>
    </xdr:to>
    <xdr:sp macro="" textlink="">
      <xdr:nvSpPr>
        <xdr:cNvPr id="554" name="Oval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95173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465</xdr:row>
      <xdr:rowOff>47625</xdr:rowOff>
    </xdr:from>
    <xdr:to>
      <xdr:col>4</xdr:col>
      <xdr:colOff>561975</xdr:colOff>
      <xdr:row>465</xdr:row>
      <xdr:rowOff>66675</xdr:rowOff>
    </xdr:to>
    <xdr:sp macro="" textlink="">
      <xdr:nvSpPr>
        <xdr:cNvPr id="555" name="Oval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3038475" y="94859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638175</xdr:colOff>
      <xdr:row>465</xdr:row>
      <xdr:rowOff>47625</xdr:rowOff>
    </xdr:from>
    <xdr:to>
      <xdr:col>4</xdr:col>
      <xdr:colOff>657225</xdr:colOff>
      <xdr:row>465</xdr:row>
      <xdr:rowOff>66675</xdr:rowOff>
    </xdr:to>
    <xdr:sp macro="" textlink="">
      <xdr:nvSpPr>
        <xdr:cNvPr id="556" name="Oval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3133725" y="94859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465</xdr:row>
      <xdr:rowOff>57150</xdr:rowOff>
    </xdr:from>
    <xdr:to>
      <xdr:col>5</xdr:col>
      <xdr:colOff>57150</xdr:colOff>
      <xdr:row>465</xdr:row>
      <xdr:rowOff>76200</xdr:rowOff>
    </xdr:to>
    <xdr:sp macro="" textlink="">
      <xdr:nvSpPr>
        <xdr:cNvPr id="557" name="Oval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3238500" y="94869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465</xdr:row>
      <xdr:rowOff>190500</xdr:rowOff>
    </xdr:from>
    <xdr:to>
      <xdr:col>4</xdr:col>
      <xdr:colOff>609600</xdr:colOff>
      <xdr:row>466</xdr:row>
      <xdr:rowOff>9525</xdr:rowOff>
    </xdr:to>
    <xdr:sp macro="" textlink="">
      <xdr:nvSpPr>
        <xdr:cNvPr id="558" name="Oval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95002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466</xdr:row>
      <xdr:rowOff>28575</xdr:rowOff>
    </xdr:from>
    <xdr:to>
      <xdr:col>5</xdr:col>
      <xdr:colOff>19050</xdr:colOff>
      <xdr:row>466</xdr:row>
      <xdr:rowOff>47625</xdr:rowOff>
    </xdr:to>
    <xdr:sp macro="" textlink="">
      <xdr:nvSpPr>
        <xdr:cNvPr id="559" name="Oval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3200400" y="95040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467</xdr:row>
      <xdr:rowOff>19050</xdr:rowOff>
    </xdr:from>
    <xdr:to>
      <xdr:col>4</xdr:col>
      <xdr:colOff>638175</xdr:colOff>
      <xdr:row>467</xdr:row>
      <xdr:rowOff>38100</xdr:rowOff>
    </xdr:to>
    <xdr:sp macro="" textlink="">
      <xdr:nvSpPr>
        <xdr:cNvPr id="560" name="Oval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95230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467</xdr:row>
      <xdr:rowOff>57150</xdr:rowOff>
    </xdr:from>
    <xdr:to>
      <xdr:col>5</xdr:col>
      <xdr:colOff>47625</xdr:colOff>
      <xdr:row>467</xdr:row>
      <xdr:rowOff>76200</xdr:rowOff>
    </xdr:to>
    <xdr:sp macro="" textlink="">
      <xdr:nvSpPr>
        <xdr:cNvPr id="561" name="Oval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5269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466</xdr:row>
      <xdr:rowOff>0</xdr:rowOff>
    </xdr:from>
    <xdr:to>
      <xdr:col>4</xdr:col>
      <xdr:colOff>552450</xdr:colOff>
      <xdr:row>466</xdr:row>
      <xdr:rowOff>19050</xdr:rowOff>
    </xdr:to>
    <xdr:sp macro="" textlink="">
      <xdr:nvSpPr>
        <xdr:cNvPr id="562" name="Oval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3028950" y="95011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628650</xdr:colOff>
      <xdr:row>466</xdr:row>
      <xdr:rowOff>0</xdr:rowOff>
    </xdr:from>
    <xdr:to>
      <xdr:col>4</xdr:col>
      <xdr:colOff>647700</xdr:colOff>
      <xdr:row>466</xdr:row>
      <xdr:rowOff>19050</xdr:rowOff>
    </xdr:to>
    <xdr:sp macro="" textlink="">
      <xdr:nvSpPr>
        <xdr:cNvPr id="563" name="Oval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3124200" y="95011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466</xdr:row>
      <xdr:rowOff>9525</xdr:rowOff>
    </xdr:from>
    <xdr:to>
      <xdr:col>5</xdr:col>
      <xdr:colOff>47625</xdr:colOff>
      <xdr:row>466</xdr:row>
      <xdr:rowOff>28575</xdr:rowOff>
    </xdr:to>
    <xdr:sp macro="" textlink="">
      <xdr:nvSpPr>
        <xdr:cNvPr id="564" name="Oval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5021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466</xdr:row>
      <xdr:rowOff>142875</xdr:rowOff>
    </xdr:from>
    <xdr:to>
      <xdr:col>4</xdr:col>
      <xdr:colOff>600075</xdr:colOff>
      <xdr:row>466</xdr:row>
      <xdr:rowOff>161925</xdr:rowOff>
    </xdr:to>
    <xdr:sp macro="" textlink="">
      <xdr:nvSpPr>
        <xdr:cNvPr id="565" name="Oval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3076575" y="95154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466</xdr:row>
      <xdr:rowOff>180975</xdr:rowOff>
    </xdr:from>
    <xdr:to>
      <xdr:col>5</xdr:col>
      <xdr:colOff>9525</xdr:colOff>
      <xdr:row>467</xdr:row>
      <xdr:rowOff>0</xdr:rowOff>
    </xdr:to>
    <xdr:sp macro="" textlink="">
      <xdr:nvSpPr>
        <xdr:cNvPr id="566" name="Oval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609600</xdr:colOff>
      <xdr:row>467</xdr:row>
      <xdr:rowOff>171450</xdr:rowOff>
    </xdr:from>
    <xdr:to>
      <xdr:col>4</xdr:col>
      <xdr:colOff>628650</xdr:colOff>
      <xdr:row>467</xdr:row>
      <xdr:rowOff>190500</xdr:rowOff>
    </xdr:to>
    <xdr:sp macro="" textlink="">
      <xdr:nvSpPr>
        <xdr:cNvPr id="567" name="Oval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953833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468</xdr:row>
      <xdr:rowOff>9525</xdr:rowOff>
    </xdr:from>
    <xdr:to>
      <xdr:col>5</xdr:col>
      <xdr:colOff>38100</xdr:colOff>
      <xdr:row>468</xdr:row>
      <xdr:rowOff>28575</xdr:rowOff>
    </xdr:to>
    <xdr:sp macro="" textlink="">
      <xdr:nvSpPr>
        <xdr:cNvPr id="568" name="Oval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95421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466</xdr:row>
      <xdr:rowOff>180975</xdr:rowOff>
    </xdr:from>
    <xdr:to>
      <xdr:col>4</xdr:col>
      <xdr:colOff>561975</xdr:colOff>
      <xdr:row>467</xdr:row>
      <xdr:rowOff>0</xdr:rowOff>
    </xdr:to>
    <xdr:sp macro="" textlink="">
      <xdr:nvSpPr>
        <xdr:cNvPr id="569" name="Oval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3038475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638175</xdr:colOff>
      <xdr:row>466</xdr:row>
      <xdr:rowOff>180975</xdr:rowOff>
    </xdr:from>
    <xdr:to>
      <xdr:col>4</xdr:col>
      <xdr:colOff>657225</xdr:colOff>
      <xdr:row>467</xdr:row>
      <xdr:rowOff>0</xdr:rowOff>
    </xdr:to>
    <xdr:sp macro="" textlink="">
      <xdr:nvSpPr>
        <xdr:cNvPr id="570" name="Oval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3133725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466</xdr:row>
      <xdr:rowOff>190500</xdr:rowOff>
    </xdr:from>
    <xdr:to>
      <xdr:col>5</xdr:col>
      <xdr:colOff>57150</xdr:colOff>
      <xdr:row>467</xdr:row>
      <xdr:rowOff>9525</xdr:rowOff>
    </xdr:to>
    <xdr:sp macro="" textlink="">
      <xdr:nvSpPr>
        <xdr:cNvPr id="571" name="Oval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3238500" y="95202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590550</xdr:colOff>
      <xdr:row>467</xdr:row>
      <xdr:rowOff>123825</xdr:rowOff>
    </xdr:from>
    <xdr:to>
      <xdr:col>4</xdr:col>
      <xdr:colOff>609600</xdr:colOff>
      <xdr:row>467</xdr:row>
      <xdr:rowOff>142875</xdr:rowOff>
    </xdr:to>
    <xdr:sp macro="" textlink="">
      <xdr:nvSpPr>
        <xdr:cNvPr id="572" name="Oval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953357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467</xdr:row>
      <xdr:rowOff>161925</xdr:rowOff>
    </xdr:from>
    <xdr:to>
      <xdr:col>5</xdr:col>
      <xdr:colOff>19050</xdr:colOff>
      <xdr:row>467</xdr:row>
      <xdr:rowOff>180975</xdr:rowOff>
    </xdr:to>
    <xdr:sp macro="" textlink="">
      <xdr:nvSpPr>
        <xdr:cNvPr id="573" name="Oval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3200400" y="95373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468</xdr:row>
      <xdr:rowOff>152400</xdr:rowOff>
    </xdr:from>
    <xdr:to>
      <xdr:col>4</xdr:col>
      <xdr:colOff>638175</xdr:colOff>
      <xdr:row>468</xdr:row>
      <xdr:rowOff>171450</xdr:rowOff>
    </xdr:to>
    <xdr:sp macro="" textlink="">
      <xdr:nvSpPr>
        <xdr:cNvPr id="574" name="Oval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95564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468</xdr:row>
      <xdr:rowOff>190500</xdr:rowOff>
    </xdr:from>
    <xdr:to>
      <xdr:col>5</xdr:col>
      <xdr:colOff>47625</xdr:colOff>
      <xdr:row>469</xdr:row>
      <xdr:rowOff>9525</xdr:rowOff>
    </xdr:to>
    <xdr:sp macro="" textlink="">
      <xdr:nvSpPr>
        <xdr:cNvPr id="575" name="Oval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5602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467</xdr:row>
      <xdr:rowOff>133350</xdr:rowOff>
    </xdr:from>
    <xdr:to>
      <xdr:col>4</xdr:col>
      <xdr:colOff>552450</xdr:colOff>
      <xdr:row>467</xdr:row>
      <xdr:rowOff>152400</xdr:rowOff>
    </xdr:to>
    <xdr:sp macro="" textlink="">
      <xdr:nvSpPr>
        <xdr:cNvPr id="576" name="Oval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3028950" y="95345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628650</xdr:colOff>
      <xdr:row>467</xdr:row>
      <xdr:rowOff>133350</xdr:rowOff>
    </xdr:from>
    <xdr:to>
      <xdr:col>4</xdr:col>
      <xdr:colOff>647700</xdr:colOff>
      <xdr:row>467</xdr:row>
      <xdr:rowOff>152400</xdr:rowOff>
    </xdr:to>
    <xdr:sp macro="" textlink="">
      <xdr:nvSpPr>
        <xdr:cNvPr id="577" name="Oval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3124200" y="95345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467</xdr:row>
      <xdr:rowOff>142875</xdr:rowOff>
    </xdr:from>
    <xdr:to>
      <xdr:col>5</xdr:col>
      <xdr:colOff>47625</xdr:colOff>
      <xdr:row>467</xdr:row>
      <xdr:rowOff>161925</xdr:rowOff>
    </xdr:to>
    <xdr:sp macro="" textlink="">
      <xdr:nvSpPr>
        <xdr:cNvPr id="578" name="Oval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3228975" y="953547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468</xdr:row>
      <xdr:rowOff>76200</xdr:rowOff>
    </xdr:from>
    <xdr:to>
      <xdr:col>4</xdr:col>
      <xdr:colOff>600075</xdr:colOff>
      <xdr:row>468</xdr:row>
      <xdr:rowOff>95250</xdr:rowOff>
    </xdr:to>
    <xdr:sp macro="" textlink="">
      <xdr:nvSpPr>
        <xdr:cNvPr id="579" name="Oval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3076575" y="954881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468</xdr:row>
      <xdr:rowOff>114300</xdr:rowOff>
    </xdr:from>
    <xdr:to>
      <xdr:col>5</xdr:col>
      <xdr:colOff>9525</xdr:colOff>
      <xdr:row>468</xdr:row>
      <xdr:rowOff>133350</xdr:rowOff>
    </xdr:to>
    <xdr:sp macro="" textlink="">
      <xdr:nvSpPr>
        <xdr:cNvPr id="580" name="Oval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95526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609600</xdr:colOff>
      <xdr:row>469</xdr:row>
      <xdr:rowOff>104775</xdr:rowOff>
    </xdr:from>
    <xdr:to>
      <xdr:col>4</xdr:col>
      <xdr:colOff>628650</xdr:colOff>
      <xdr:row>469</xdr:row>
      <xdr:rowOff>123825</xdr:rowOff>
    </xdr:to>
    <xdr:sp macro="" textlink="">
      <xdr:nvSpPr>
        <xdr:cNvPr id="581" name="Oval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957167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469</xdr:row>
      <xdr:rowOff>142875</xdr:rowOff>
    </xdr:from>
    <xdr:to>
      <xdr:col>5</xdr:col>
      <xdr:colOff>38100</xdr:colOff>
      <xdr:row>469</xdr:row>
      <xdr:rowOff>161925</xdr:rowOff>
    </xdr:to>
    <xdr:sp macro="" textlink="">
      <xdr:nvSpPr>
        <xdr:cNvPr id="582" name="Oval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95754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467</xdr:row>
      <xdr:rowOff>85725</xdr:rowOff>
    </xdr:from>
    <xdr:to>
      <xdr:col>4</xdr:col>
      <xdr:colOff>542925</xdr:colOff>
      <xdr:row>467</xdr:row>
      <xdr:rowOff>104775</xdr:rowOff>
    </xdr:to>
    <xdr:sp macro="" textlink="">
      <xdr:nvSpPr>
        <xdr:cNvPr id="583" name="Oval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95297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467</xdr:row>
      <xdr:rowOff>85725</xdr:rowOff>
    </xdr:from>
    <xdr:to>
      <xdr:col>4</xdr:col>
      <xdr:colOff>638175</xdr:colOff>
      <xdr:row>467</xdr:row>
      <xdr:rowOff>104775</xdr:rowOff>
    </xdr:to>
    <xdr:sp macro="" textlink="">
      <xdr:nvSpPr>
        <xdr:cNvPr id="584" name="Oval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95297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467</xdr:row>
      <xdr:rowOff>95250</xdr:rowOff>
    </xdr:from>
    <xdr:to>
      <xdr:col>5</xdr:col>
      <xdr:colOff>38100</xdr:colOff>
      <xdr:row>467</xdr:row>
      <xdr:rowOff>114300</xdr:rowOff>
    </xdr:to>
    <xdr:sp macro="" textlink="">
      <xdr:nvSpPr>
        <xdr:cNvPr id="585" name="Oval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953071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571500</xdr:colOff>
      <xdr:row>468</xdr:row>
      <xdr:rowOff>28575</xdr:rowOff>
    </xdr:from>
    <xdr:to>
      <xdr:col>4</xdr:col>
      <xdr:colOff>590550</xdr:colOff>
      <xdr:row>468</xdr:row>
      <xdr:rowOff>47625</xdr:rowOff>
    </xdr:to>
    <xdr:sp macro="" textlink="">
      <xdr:nvSpPr>
        <xdr:cNvPr id="586" name="Oval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3067050" y="95440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468</xdr:row>
      <xdr:rowOff>66675</xdr:rowOff>
    </xdr:from>
    <xdr:to>
      <xdr:col>5</xdr:col>
      <xdr:colOff>0</xdr:colOff>
      <xdr:row>468</xdr:row>
      <xdr:rowOff>85725</xdr:rowOff>
    </xdr:to>
    <xdr:sp macro="" textlink="">
      <xdr:nvSpPr>
        <xdr:cNvPr id="587" name="Oval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95478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469</xdr:row>
      <xdr:rowOff>57150</xdr:rowOff>
    </xdr:from>
    <xdr:to>
      <xdr:col>4</xdr:col>
      <xdr:colOff>619125</xdr:colOff>
      <xdr:row>469</xdr:row>
      <xdr:rowOff>76200</xdr:rowOff>
    </xdr:to>
    <xdr:sp macro="" textlink="">
      <xdr:nvSpPr>
        <xdr:cNvPr id="588" name="Oval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3095625" y="95669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469</xdr:row>
      <xdr:rowOff>95250</xdr:rowOff>
    </xdr:from>
    <xdr:to>
      <xdr:col>5</xdr:col>
      <xdr:colOff>28575</xdr:colOff>
      <xdr:row>469</xdr:row>
      <xdr:rowOff>114300</xdr:rowOff>
    </xdr:to>
    <xdr:sp macro="" textlink="">
      <xdr:nvSpPr>
        <xdr:cNvPr id="589" name="Oval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957072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657225</xdr:colOff>
      <xdr:row>464</xdr:row>
      <xdr:rowOff>123825</xdr:rowOff>
    </xdr:from>
    <xdr:to>
      <xdr:col>6</xdr:col>
      <xdr:colOff>676275</xdr:colOff>
      <xdr:row>464</xdr:row>
      <xdr:rowOff>142875</xdr:rowOff>
    </xdr:to>
    <xdr:sp macro="" textlink="">
      <xdr:nvSpPr>
        <xdr:cNvPr id="590" name="Oval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94735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464</xdr:row>
      <xdr:rowOff>123825</xdr:rowOff>
    </xdr:from>
    <xdr:to>
      <xdr:col>7</xdr:col>
      <xdr:colOff>0</xdr:colOff>
      <xdr:row>464</xdr:row>
      <xdr:rowOff>142875</xdr:rowOff>
    </xdr:to>
    <xdr:sp macro="" textlink="">
      <xdr:nvSpPr>
        <xdr:cNvPr id="591" name="Oval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4735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464</xdr:row>
      <xdr:rowOff>133350</xdr:rowOff>
    </xdr:from>
    <xdr:to>
      <xdr:col>7</xdr:col>
      <xdr:colOff>104775</xdr:colOff>
      <xdr:row>464</xdr:row>
      <xdr:rowOff>152400</xdr:rowOff>
    </xdr:to>
    <xdr:sp macro="" textlink="">
      <xdr:nvSpPr>
        <xdr:cNvPr id="592" name="Oval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4762500" y="947451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465</xdr:row>
      <xdr:rowOff>66675</xdr:rowOff>
    </xdr:from>
    <xdr:to>
      <xdr:col>6</xdr:col>
      <xdr:colOff>723900</xdr:colOff>
      <xdr:row>465</xdr:row>
      <xdr:rowOff>85725</xdr:rowOff>
    </xdr:to>
    <xdr:sp macro="" textlink="">
      <xdr:nvSpPr>
        <xdr:cNvPr id="593" name="Oval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94878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465</xdr:row>
      <xdr:rowOff>104775</xdr:rowOff>
    </xdr:from>
    <xdr:to>
      <xdr:col>7</xdr:col>
      <xdr:colOff>66675</xdr:colOff>
      <xdr:row>465</xdr:row>
      <xdr:rowOff>123825</xdr:rowOff>
    </xdr:to>
    <xdr:sp macro="" textlink="">
      <xdr:nvSpPr>
        <xdr:cNvPr id="594" name="Oval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94916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466</xdr:row>
      <xdr:rowOff>95250</xdr:rowOff>
    </xdr:from>
    <xdr:to>
      <xdr:col>6</xdr:col>
      <xdr:colOff>752475</xdr:colOff>
      <xdr:row>466</xdr:row>
      <xdr:rowOff>114300</xdr:rowOff>
    </xdr:to>
    <xdr:sp macro="" textlink="">
      <xdr:nvSpPr>
        <xdr:cNvPr id="595" name="Oval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51071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466</xdr:row>
      <xdr:rowOff>133350</xdr:rowOff>
    </xdr:from>
    <xdr:to>
      <xdr:col>7</xdr:col>
      <xdr:colOff>95250</xdr:colOff>
      <xdr:row>466</xdr:row>
      <xdr:rowOff>152400</xdr:rowOff>
    </xdr:to>
    <xdr:sp macro="" textlink="">
      <xdr:nvSpPr>
        <xdr:cNvPr id="596" name="Oval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4752975" y="95145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657225</xdr:colOff>
      <xdr:row>465</xdr:row>
      <xdr:rowOff>76200</xdr:rowOff>
    </xdr:from>
    <xdr:to>
      <xdr:col>6</xdr:col>
      <xdr:colOff>676275</xdr:colOff>
      <xdr:row>465</xdr:row>
      <xdr:rowOff>95250</xdr:rowOff>
    </xdr:to>
    <xdr:sp macro="" textlink="">
      <xdr:nvSpPr>
        <xdr:cNvPr id="597" name="Oval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94888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465</xdr:row>
      <xdr:rowOff>76200</xdr:rowOff>
    </xdr:from>
    <xdr:to>
      <xdr:col>7</xdr:col>
      <xdr:colOff>0</xdr:colOff>
      <xdr:row>465</xdr:row>
      <xdr:rowOff>95250</xdr:rowOff>
    </xdr:to>
    <xdr:sp macro="" textlink="">
      <xdr:nvSpPr>
        <xdr:cNvPr id="598" name="Oval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4888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465</xdr:row>
      <xdr:rowOff>85725</xdr:rowOff>
    </xdr:from>
    <xdr:to>
      <xdr:col>7</xdr:col>
      <xdr:colOff>104775</xdr:colOff>
      <xdr:row>465</xdr:row>
      <xdr:rowOff>104775</xdr:rowOff>
    </xdr:to>
    <xdr:sp macro="" textlink="">
      <xdr:nvSpPr>
        <xdr:cNvPr id="599" name="Oval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4762500" y="94897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466</xdr:row>
      <xdr:rowOff>19050</xdr:rowOff>
    </xdr:from>
    <xdr:to>
      <xdr:col>6</xdr:col>
      <xdr:colOff>723900</xdr:colOff>
      <xdr:row>466</xdr:row>
      <xdr:rowOff>38100</xdr:rowOff>
    </xdr:to>
    <xdr:sp macro="" textlink="">
      <xdr:nvSpPr>
        <xdr:cNvPr id="600" name="Oval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95030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466</xdr:row>
      <xdr:rowOff>57150</xdr:rowOff>
    </xdr:from>
    <xdr:to>
      <xdr:col>7</xdr:col>
      <xdr:colOff>66675</xdr:colOff>
      <xdr:row>466</xdr:row>
      <xdr:rowOff>76200</xdr:rowOff>
    </xdr:to>
    <xdr:sp macro="" textlink="">
      <xdr:nvSpPr>
        <xdr:cNvPr id="601" name="Oval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950690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467</xdr:row>
      <xdr:rowOff>47625</xdr:rowOff>
    </xdr:from>
    <xdr:to>
      <xdr:col>6</xdr:col>
      <xdr:colOff>752475</xdr:colOff>
      <xdr:row>467</xdr:row>
      <xdr:rowOff>66675</xdr:rowOff>
    </xdr:to>
    <xdr:sp macro="" textlink="">
      <xdr:nvSpPr>
        <xdr:cNvPr id="602" name="Oval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5259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467</xdr:row>
      <xdr:rowOff>85725</xdr:rowOff>
    </xdr:from>
    <xdr:to>
      <xdr:col>7</xdr:col>
      <xdr:colOff>95250</xdr:colOff>
      <xdr:row>467</xdr:row>
      <xdr:rowOff>104775</xdr:rowOff>
    </xdr:to>
    <xdr:sp macro="" textlink="">
      <xdr:nvSpPr>
        <xdr:cNvPr id="603" name="Oval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4752975" y="95297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657225</xdr:colOff>
      <xdr:row>466</xdr:row>
      <xdr:rowOff>28575</xdr:rowOff>
    </xdr:from>
    <xdr:to>
      <xdr:col>6</xdr:col>
      <xdr:colOff>676275</xdr:colOff>
      <xdr:row>466</xdr:row>
      <xdr:rowOff>47625</xdr:rowOff>
    </xdr:to>
    <xdr:sp macro="" textlink="">
      <xdr:nvSpPr>
        <xdr:cNvPr id="604" name="Oval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95040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466</xdr:row>
      <xdr:rowOff>28575</xdr:rowOff>
    </xdr:from>
    <xdr:to>
      <xdr:col>7</xdr:col>
      <xdr:colOff>0</xdr:colOff>
      <xdr:row>466</xdr:row>
      <xdr:rowOff>47625</xdr:rowOff>
    </xdr:to>
    <xdr:sp macro="" textlink="">
      <xdr:nvSpPr>
        <xdr:cNvPr id="605" name="Oval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5040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466</xdr:row>
      <xdr:rowOff>38100</xdr:rowOff>
    </xdr:from>
    <xdr:to>
      <xdr:col>7</xdr:col>
      <xdr:colOff>104775</xdr:colOff>
      <xdr:row>466</xdr:row>
      <xdr:rowOff>57150</xdr:rowOff>
    </xdr:to>
    <xdr:sp macro="" textlink="">
      <xdr:nvSpPr>
        <xdr:cNvPr id="606" name="Oval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4762500" y="95049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466</xdr:row>
      <xdr:rowOff>171450</xdr:rowOff>
    </xdr:from>
    <xdr:to>
      <xdr:col>6</xdr:col>
      <xdr:colOff>723900</xdr:colOff>
      <xdr:row>466</xdr:row>
      <xdr:rowOff>190500</xdr:rowOff>
    </xdr:to>
    <xdr:sp macro="" textlink="">
      <xdr:nvSpPr>
        <xdr:cNvPr id="607" name="Oval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95183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467</xdr:row>
      <xdr:rowOff>9525</xdr:rowOff>
    </xdr:from>
    <xdr:to>
      <xdr:col>7</xdr:col>
      <xdr:colOff>66675</xdr:colOff>
      <xdr:row>467</xdr:row>
      <xdr:rowOff>28575</xdr:rowOff>
    </xdr:to>
    <xdr:sp macro="" textlink="">
      <xdr:nvSpPr>
        <xdr:cNvPr id="608" name="Oval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95221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468</xdr:row>
      <xdr:rowOff>0</xdr:rowOff>
    </xdr:from>
    <xdr:to>
      <xdr:col>6</xdr:col>
      <xdr:colOff>752475</xdr:colOff>
      <xdr:row>468</xdr:row>
      <xdr:rowOff>19050</xdr:rowOff>
    </xdr:to>
    <xdr:sp macro="" textlink="">
      <xdr:nvSpPr>
        <xdr:cNvPr id="609" name="Oval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5411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468</xdr:row>
      <xdr:rowOff>38100</xdr:rowOff>
    </xdr:from>
    <xdr:to>
      <xdr:col>7</xdr:col>
      <xdr:colOff>95250</xdr:colOff>
      <xdr:row>468</xdr:row>
      <xdr:rowOff>57150</xdr:rowOff>
    </xdr:to>
    <xdr:sp macro="" textlink="">
      <xdr:nvSpPr>
        <xdr:cNvPr id="610" name="Oval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4752975" y="954500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676275</xdr:colOff>
      <xdr:row>466</xdr:row>
      <xdr:rowOff>180975</xdr:rowOff>
    </xdr:from>
    <xdr:to>
      <xdr:col>6</xdr:col>
      <xdr:colOff>695325</xdr:colOff>
      <xdr:row>467</xdr:row>
      <xdr:rowOff>0</xdr:rowOff>
    </xdr:to>
    <xdr:sp macro="" textlink="">
      <xdr:nvSpPr>
        <xdr:cNvPr id="611" name="Oval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4581525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466</xdr:row>
      <xdr:rowOff>180975</xdr:rowOff>
    </xdr:from>
    <xdr:to>
      <xdr:col>7</xdr:col>
      <xdr:colOff>19050</xdr:colOff>
      <xdr:row>467</xdr:row>
      <xdr:rowOff>0</xdr:rowOff>
    </xdr:to>
    <xdr:sp macro="" textlink="">
      <xdr:nvSpPr>
        <xdr:cNvPr id="612" name="Oval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4676775" y="9519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466</xdr:row>
      <xdr:rowOff>190500</xdr:rowOff>
    </xdr:from>
    <xdr:to>
      <xdr:col>7</xdr:col>
      <xdr:colOff>123825</xdr:colOff>
      <xdr:row>467</xdr:row>
      <xdr:rowOff>9525</xdr:rowOff>
    </xdr:to>
    <xdr:sp macro="" textlink="">
      <xdr:nvSpPr>
        <xdr:cNvPr id="613" name="Oval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4781550" y="95202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723900</xdr:colOff>
      <xdr:row>467</xdr:row>
      <xdr:rowOff>123825</xdr:rowOff>
    </xdr:from>
    <xdr:to>
      <xdr:col>6</xdr:col>
      <xdr:colOff>742950</xdr:colOff>
      <xdr:row>467</xdr:row>
      <xdr:rowOff>142875</xdr:rowOff>
    </xdr:to>
    <xdr:sp macro="" textlink="">
      <xdr:nvSpPr>
        <xdr:cNvPr id="614" name="Oval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953357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467</xdr:row>
      <xdr:rowOff>161925</xdr:rowOff>
    </xdr:from>
    <xdr:to>
      <xdr:col>7</xdr:col>
      <xdr:colOff>85725</xdr:colOff>
      <xdr:row>467</xdr:row>
      <xdr:rowOff>180975</xdr:rowOff>
    </xdr:to>
    <xdr:sp macro="" textlink="">
      <xdr:nvSpPr>
        <xdr:cNvPr id="615" name="Oval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95373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468</xdr:row>
      <xdr:rowOff>152400</xdr:rowOff>
    </xdr:from>
    <xdr:to>
      <xdr:col>7</xdr:col>
      <xdr:colOff>0</xdr:colOff>
      <xdr:row>468</xdr:row>
      <xdr:rowOff>171450</xdr:rowOff>
    </xdr:to>
    <xdr:sp macro="" textlink="">
      <xdr:nvSpPr>
        <xdr:cNvPr id="616" name="Oval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5564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468</xdr:row>
      <xdr:rowOff>190500</xdr:rowOff>
    </xdr:from>
    <xdr:to>
      <xdr:col>7</xdr:col>
      <xdr:colOff>114300</xdr:colOff>
      <xdr:row>469</xdr:row>
      <xdr:rowOff>9525</xdr:rowOff>
    </xdr:to>
    <xdr:sp macro="" textlink="">
      <xdr:nvSpPr>
        <xdr:cNvPr id="617" name="Oval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4772025" y="956024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657225</xdr:colOff>
      <xdr:row>467</xdr:row>
      <xdr:rowOff>76200</xdr:rowOff>
    </xdr:from>
    <xdr:to>
      <xdr:col>6</xdr:col>
      <xdr:colOff>676275</xdr:colOff>
      <xdr:row>467</xdr:row>
      <xdr:rowOff>95250</xdr:rowOff>
    </xdr:to>
    <xdr:sp macro="" textlink="">
      <xdr:nvSpPr>
        <xdr:cNvPr id="618" name="Oval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95288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467</xdr:row>
      <xdr:rowOff>76200</xdr:rowOff>
    </xdr:from>
    <xdr:to>
      <xdr:col>7</xdr:col>
      <xdr:colOff>0</xdr:colOff>
      <xdr:row>467</xdr:row>
      <xdr:rowOff>95250</xdr:rowOff>
    </xdr:to>
    <xdr:sp macro="" textlink="">
      <xdr:nvSpPr>
        <xdr:cNvPr id="619" name="Oval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52881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467</xdr:row>
      <xdr:rowOff>85725</xdr:rowOff>
    </xdr:from>
    <xdr:to>
      <xdr:col>7</xdr:col>
      <xdr:colOff>104775</xdr:colOff>
      <xdr:row>467</xdr:row>
      <xdr:rowOff>104775</xdr:rowOff>
    </xdr:to>
    <xdr:sp macro="" textlink="">
      <xdr:nvSpPr>
        <xdr:cNvPr id="620" name="Oval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4762500" y="952976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468</xdr:row>
      <xdr:rowOff>19050</xdr:rowOff>
    </xdr:from>
    <xdr:to>
      <xdr:col>6</xdr:col>
      <xdr:colOff>723900</xdr:colOff>
      <xdr:row>468</xdr:row>
      <xdr:rowOff>38100</xdr:rowOff>
    </xdr:to>
    <xdr:sp macro="" textlink="">
      <xdr:nvSpPr>
        <xdr:cNvPr id="621" name="Oval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954309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468</xdr:row>
      <xdr:rowOff>57150</xdr:rowOff>
    </xdr:from>
    <xdr:to>
      <xdr:col>7</xdr:col>
      <xdr:colOff>66675</xdr:colOff>
      <xdr:row>468</xdr:row>
      <xdr:rowOff>76200</xdr:rowOff>
    </xdr:to>
    <xdr:sp macro="" textlink="">
      <xdr:nvSpPr>
        <xdr:cNvPr id="622" name="Oval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4724400" y="95469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469</xdr:row>
      <xdr:rowOff>47625</xdr:rowOff>
    </xdr:from>
    <xdr:to>
      <xdr:col>6</xdr:col>
      <xdr:colOff>752475</xdr:colOff>
      <xdr:row>469</xdr:row>
      <xdr:rowOff>66675</xdr:rowOff>
    </xdr:to>
    <xdr:sp macro="" textlink="">
      <xdr:nvSpPr>
        <xdr:cNvPr id="623" name="Oval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56595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469</xdr:row>
      <xdr:rowOff>85725</xdr:rowOff>
    </xdr:from>
    <xdr:to>
      <xdr:col>7</xdr:col>
      <xdr:colOff>95250</xdr:colOff>
      <xdr:row>469</xdr:row>
      <xdr:rowOff>104775</xdr:rowOff>
    </xdr:to>
    <xdr:sp macro="" textlink="">
      <xdr:nvSpPr>
        <xdr:cNvPr id="624" name="Oval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4752975" y="956976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469</xdr:row>
      <xdr:rowOff>0</xdr:rowOff>
    </xdr:from>
    <xdr:to>
      <xdr:col>4</xdr:col>
      <xdr:colOff>581025</xdr:colOff>
      <xdr:row>469</xdr:row>
      <xdr:rowOff>19050</xdr:rowOff>
    </xdr:to>
    <xdr:sp macro="" textlink="">
      <xdr:nvSpPr>
        <xdr:cNvPr id="625" name="Oval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3057525" y="95611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657225</xdr:colOff>
      <xdr:row>469</xdr:row>
      <xdr:rowOff>9525</xdr:rowOff>
    </xdr:from>
    <xdr:to>
      <xdr:col>4</xdr:col>
      <xdr:colOff>676275</xdr:colOff>
      <xdr:row>469</xdr:row>
      <xdr:rowOff>28575</xdr:rowOff>
    </xdr:to>
    <xdr:sp macro="" textlink="">
      <xdr:nvSpPr>
        <xdr:cNvPr id="626" name="Oval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95621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676275</xdr:colOff>
      <xdr:row>469</xdr:row>
      <xdr:rowOff>28575</xdr:rowOff>
    </xdr:from>
    <xdr:to>
      <xdr:col>4</xdr:col>
      <xdr:colOff>695325</xdr:colOff>
      <xdr:row>469</xdr:row>
      <xdr:rowOff>47625</xdr:rowOff>
    </xdr:to>
    <xdr:sp macro="" textlink="">
      <xdr:nvSpPr>
        <xdr:cNvPr id="627" name="Oval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95640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676275</xdr:colOff>
      <xdr:row>466</xdr:row>
      <xdr:rowOff>76200</xdr:rowOff>
    </xdr:from>
    <xdr:to>
      <xdr:col>4</xdr:col>
      <xdr:colOff>695325</xdr:colOff>
      <xdr:row>466</xdr:row>
      <xdr:rowOff>95250</xdr:rowOff>
    </xdr:to>
    <xdr:sp macro="" textlink="">
      <xdr:nvSpPr>
        <xdr:cNvPr id="628" name="Oval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95088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467</xdr:row>
      <xdr:rowOff>47625</xdr:rowOff>
    </xdr:from>
    <xdr:to>
      <xdr:col>5</xdr:col>
      <xdr:colOff>0</xdr:colOff>
      <xdr:row>467</xdr:row>
      <xdr:rowOff>66675</xdr:rowOff>
    </xdr:to>
    <xdr:sp macro="" textlink="">
      <xdr:nvSpPr>
        <xdr:cNvPr id="629" name="Oval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95259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468</xdr:row>
      <xdr:rowOff>9525</xdr:rowOff>
    </xdr:from>
    <xdr:to>
      <xdr:col>4</xdr:col>
      <xdr:colOff>638175</xdr:colOff>
      <xdr:row>468</xdr:row>
      <xdr:rowOff>28575</xdr:rowOff>
    </xdr:to>
    <xdr:sp macro="" textlink="">
      <xdr:nvSpPr>
        <xdr:cNvPr id="630" name="Oval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95421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676275</xdr:colOff>
      <xdr:row>468</xdr:row>
      <xdr:rowOff>161925</xdr:rowOff>
    </xdr:from>
    <xdr:to>
      <xdr:col>6</xdr:col>
      <xdr:colOff>695325</xdr:colOff>
      <xdr:row>468</xdr:row>
      <xdr:rowOff>180975</xdr:rowOff>
    </xdr:to>
    <xdr:sp macro="" textlink="">
      <xdr:nvSpPr>
        <xdr:cNvPr id="631" name="Oval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4581525" y="95573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468</xdr:row>
      <xdr:rowOff>114300</xdr:rowOff>
    </xdr:from>
    <xdr:to>
      <xdr:col>7</xdr:col>
      <xdr:colOff>57150</xdr:colOff>
      <xdr:row>468</xdr:row>
      <xdr:rowOff>133350</xdr:rowOff>
    </xdr:to>
    <xdr:sp macro="" textlink="">
      <xdr:nvSpPr>
        <xdr:cNvPr id="632" name="Oval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95526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469</xdr:row>
      <xdr:rowOff>38100</xdr:rowOff>
    </xdr:from>
    <xdr:to>
      <xdr:col>7</xdr:col>
      <xdr:colOff>28575</xdr:colOff>
      <xdr:row>469</xdr:row>
      <xdr:rowOff>57150</xdr:rowOff>
    </xdr:to>
    <xdr:sp macro="" textlink="">
      <xdr:nvSpPr>
        <xdr:cNvPr id="633" name="Oval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956500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685800</xdr:colOff>
      <xdr:row>469</xdr:row>
      <xdr:rowOff>85725</xdr:rowOff>
    </xdr:from>
    <xdr:to>
      <xdr:col>6</xdr:col>
      <xdr:colOff>704850</xdr:colOff>
      <xdr:row>469</xdr:row>
      <xdr:rowOff>104775</xdr:rowOff>
    </xdr:to>
    <xdr:sp macro="" textlink="">
      <xdr:nvSpPr>
        <xdr:cNvPr id="634" name="Oval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4591050" y="956976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469</xdr:row>
      <xdr:rowOff>114300</xdr:rowOff>
    </xdr:from>
    <xdr:to>
      <xdr:col>7</xdr:col>
      <xdr:colOff>19050</xdr:colOff>
      <xdr:row>469</xdr:row>
      <xdr:rowOff>133350</xdr:rowOff>
    </xdr:to>
    <xdr:sp macro="" textlink="">
      <xdr:nvSpPr>
        <xdr:cNvPr id="635" name="Oval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4676775" y="95726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468</xdr:row>
      <xdr:rowOff>114300</xdr:rowOff>
    </xdr:from>
    <xdr:to>
      <xdr:col>7</xdr:col>
      <xdr:colOff>133350</xdr:colOff>
      <xdr:row>468</xdr:row>
      <xdr:rowOff>133350</xdr:rowOff>
    </xdr:to>
    <xdr:sp macro="" textlink="">
      <xdr:nvSpPr>
        <xdr:cNvPr id="636" name="Oval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95526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685800</xdr:colOff>
      <xdr:row>468</xdr:row>
      <xdr:rowOff>76200</xdr:rowOff>
    </xdr:from>
    <xdr:to>
      <xdr:col>6</xdr:col>
      <xdr:colOff>704850</xdr:colOff>
      <xdr:row>468</xdr:row>
      <xdr:rowOff>95250</xdr:rowOff>
    </xdr:to>
    <xdr:sp macro="" textlink="">
      <xdr:nvSpPr>
        <xdr:cNvPr id="637" name="Oval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4591050" y="954881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467</xdr:row>
      <xdr:rowOff>180975</xdr:rowOff>
    </xdr:from>
    <xdr:to>
      <xdr:col>7</xdr:col>
      <xdr:colOff>28575</xdr:colOff>
      <xdr:row>468</xdr:row>
      <xdr:rowOff>0</xdr:rowOff>
    </xdr:to>
    <xdr:sp macro="" textlink="">
      <xdr:nvSpPr>
        <xdr:cNvPr id="638" name="Oval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4686300" y="953928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468</xdr:row>
      <xdr:rowOff>85725</xdr:rowOff>
    </xdr:from>
    <xdr:to>
      <xdr:col>7</xdr:col>
      <xdr:colOff>0</xdr:colOff>
      <xdr:row>468</xdr:row>
      <xdr:rowOff>104775</xdr:rowOff>
    </xdr:to>
    <xdr:sp macro="" textlink="">
      <xdr:nvSpPr>
        <xdr:cNvPr id="639" name="Oval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4657725" y="95497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467</xdr:row>
      <xdr:rowOff>114300</xdr:rowOff>
    </xdr:from>
    <xdr:to>
      <xdr:col>7</xdr:col>
      <xdr:colOff>123825</xdr:colOff>
      <xdr:row>467</xdr:row>
      <xdr:rowOff>133350</xdr:rowOff>
    </xdr:to>
    <xdr:sp macro="" textlink="">
      <xdr:nvSpPr>
        <xdr:cNvPr id="640" name="Oval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4781550" y="953262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685800</xdr:colOff>
      <xdr:row>467</xdr:row>
      <xdr:rowOff>161925</xdr:rowOff>
    </xdr:from>
    <xdr:to>
      <xdr:col>6</xdr:col>
      <xdr:colOff>704850</xdr:colOff>
      <xdr:row>467</xdr:row>
      <xdr:rowOff>180975</xdr:rowOff>
    </xdr:to>
    <xdr:sp macro="" textlink="">
      <xdr:nvSpPr>
        <xdr:cNvPr id="641" name="Oval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4591050" y="953738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465</xdr:row>
      <xdr:rowOff>152400</xdr:rowOff>
    </xdr:from>
    <xdr:to>
      <xdr:col>7</xdr:col>
      <xdr:colOff>85725</xdr:colOff>
      <xdr:row>465</xdr:row>
      <xdr:rowOff>171450</xdr:rowOff>
    </xdr:to>
    <xdr:sp macro="" textlink="">
      <xdr:nvSpPr>
        <xdr:cNvPr id="642" name="Oval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949642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676275</xdr:colOff>
      <xdr:row>466</xdr:row>
      <xdr:rowOff>104775</xdr:rowOff>
    </xdr:from>
    <xdr:to>
      <xdr:col>6</xdr:col>
      <xdr:colOff>695325</xdr:colOff>
      <xdr:row>466</xdr:row>
      <xdr:rowOff>123825</xdr:rowOff>
    </xdr:to>
    <xdr:sp macro="" textlink="">
      <xdr:nvSpPr>
        <xdr:cNvPr id="643" name="Oval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4581525" y="951166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465</xdr:row>
      <xdr:rowOff>142875</xdr:rowOff>
    </xdr:from>
    <xdr:to>
      <xdr:col>6</xdr:col>
      <xdr:colOff>752475</xdr:colOff>
      <xdr:row>465</xdr:row>
      <xdr:rowOff>161925</xdr:rowOff>
    </xdr:to>
    <xdr:sp macro="" textlink="">
      <xdr:nvSpPr>
        <xdr:cNvPr id="644" name="Oval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49547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676275</xdr:colOff>
      <xdr:row>465</xdr:row>
      <xdr:rowOff>9525</xdr:rowOff>
    </xdr:from>
    <xdr:to>
      <xdr:col>6</xdr:col>
      <xdr:colOff>695325</xdr:colOff>
      <xdr:row>465</xdr:row>
      <xdr:rowOff>28575</xdr:rowOff>
    </xdr:to>
    <xdr:sp macro="" textlink="">
      <xdr:nvSpPr>
        <xdr:cNvPr id="645" name="Oval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4581525" y="94821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465</xdr:row>
      <xdr:rowOff>38100</xdr:rowOff>
    </xdr:from>
    <xdr:to>
      <xdr:col>7</xdr:col>
      <xdr:colOff>76200</xdr:colOff>
      <xdr:row>465</xdr:row>
      <xdr:rowOff>57150</xdr:rowOff>
    </xdr:to>
    <xdr:sp macro="" textlink="">
      <xdr:nvSpPr>
        <xdr:cNvPr id="646" name="Oval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4733925" y="94849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464</xdr:row>
      <xdr:rowOff>190500</xdr:rowOff>
    </xdr:from>
    <xdr:to>
      <xdr:col>6</xdr:col>
      <xdr:colOff>752475</xdr:colOff>
      <xdr:row>465</xdr:row>
      <xdr:rowOff>9525</xdr:rowOff>
    </xdr:to>
    <xdr:sp macro="" textlink="">
      <xdr:nvSpPr>
        <xdr:cNvPr id="647" name="Oval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948023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465</xdr:row>
      <xdr:rowOff>9525</xdr:rowOff>
    </xdr:from>
    <xdr:to>
      <xdr:col>7</xdr:col>
      <xdr:colOff>19050</xdr:colOff>
      <xdr:row>465</xdr:row>
      <xdr:rowOff>28575</xdr:rowOff>
    </xdr:to>
    <xdr:sp macro="" textlink="">
      <xdr:nvSpPr>
        <xdr:cNvPr id="648" name="Oval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4676775" y="948213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295275</xdr:colOff>
      <xdr:row>463</xdr:row>
      <xdr:rowOff>9525</xdr:rowOff>
    </xdr:from>
    <xdr:to>
      <xdr:col>10</xdr:col>
      <xdr:colOff>190500</xdr:colOff>
      <xdr:row>476</xdr:row>
      <xdr:rowOff>85725</xdr:rowOff>
    </xdr:to>
    <xdr:sp macro="" textlink="">
      <xdr:nvSpPr>
        <xdr:cNvPr id="649" name="Text 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5619750" y="94421325"/>
          <a:ext cx="1171575" cy="2676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Concrete Blocks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(4'x4'x4')</a:t>
          </a: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                     9" Gravel</a:t>
          </a: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9" Coarse sand</a:t>
          </a: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Book Antiqua"/>
          </a:endParaRP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6" Sand</a:t>
          </a:r>
        </a:p>
      </xdr:txBody>
    </xdr:sp>
    <xdr:clientData/>
  </xdr:twoCellAnchor>
  <xdr:twoCellAnchor>
    <xdr:from>
      <xdr:col>8</xdr:col>
      <xdr:colOff>200025</xdr:colOff>
      <xdr:row>470</xdr:row>
      <xdr:rowOff>66675</xdr:rowOff>
    </xdr:from>
    <xdr:to>
      <xdr:col>9</xdr:col>
      <xdr:colOff>190500</xdr:colOff>
      <xdr:row>470</xdr:row>
      <xdr:rowOff>66675</xdr:rowOff>
    </xdr:to>
    <xdr:sp macro="" textlink="">
      <xdr:nvSpPr>
        <xdr:cNvPr id="650" name="Lin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ShapeType="1"/>
        </xdr:cNvSpPr>
      </xdr:nvSpPr>
      <xdr:spPr bwMode="auto">
        <a:xfrm flipH="1">
          <a:off x="5524500" y="958786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200025</xdr:colOff>
      <xdr:row>472</xdr:row>
      <xdr:rowOff>28575</xdr:rowOff>
    </xdr:from>
    <xdr:to>
      <xdr:col>8</xdr:col>
      <xdr:colOff>571500</xdr:colOff>
      <xdr:row>472</xdr:row>
      <xdr:rowOff>114300</xdr:rowOff>
    </xdr:to>
    <xdr:sp macro="" textlink="">
      <xdr:nvSpPr>
        <xdr:cNvPr id="651" name="Lin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ShapeType="1"/>
        </xdr:cNvSpPr>
      </xdr:nvSpPr>
      <xdr:spPr bwMode="auto">
        <a:xfrm flipH="1">
          <a:off x="5524500" y="96240600"/>
          <a:ext cx="3714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473</xdr:row>
      <xdr:rowOff>171450</xdr:rowOff>
    </xdr:from>
    <xdr:to>
      <xdr:col>9</xdr:col>
      <xdr:colOff>314325</xdr:colOff>
      <xdr:row>474</xdr:row>
      <xdr:rowOff>9525</xdr:rowOff>
    </xdr:to>
    <xdr:sp macro="" textlink="">
      <xdr:nvSpPr>
        <xdr:cNvPr id="652" name="Lin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ShapeType="1"/>
        </xdr:cNvSpPr>
      </xdr:nvSpPr>
      <xdr:spPr bwMode="auto">
        <a:xfrm flipH="1">
          <a:off x="5514975" y="96583500"/>
          <a:ext cx="76200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463</xdr:row>
      <xdr:rowOff>161925</xdr:rowOff>
    </xdr:from>
    <xdr:to>
      <xdr:col>8</xdr:col>
      <xdr:colOff>495300</xdr:colOff>
      <xdr:row>465</xdr:row>
      <xdr:rowOff>28575</xdr:rowOff>
    </xdr:to>
    <xdr:sp macro="" textlink="">
      <xdr:nvSpPr>
        <xdr:cNvPr id="653" name="Lin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ShapeType="1"/>
        </xdr:cNvSpPr>
      </xdr:nvSpPr>
      <xdr:spPr bwMode="auto">
        <a:xfrm flipH="1">
          <a:off x="5410200" y="94573725"/>
          <a:ext cx="40957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771525</xdr:colOff>
      <xdr:row>462</xdr:row>
      <xdr:rowOff>190500</xdr:rowOff>
    </xdr:from>
    <xdr:to>
      <xdr:col>4</xdr:col>
      <xdr:colOff>495300</xdr:colOff>
      <xdr:row>464</xdr:row>
      <xdr:rowOff>9525</xdr:rowOff>
    </xdr:to>
    <xdr:sp macro="" textlink="">
      <xdr:nvSpPr>
        <xdr:cNvPr id="654" name="Text 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866900" y="94402275"/>
          <a:ext cx="11239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Spacing /Jhries (2")</a:t>
          </a:r>
        </a:p>
      </xdr:txBody>
    </xdr:sp>
    <xdr:clientData/>
  </xdr:twoCellAnchor>
  <xdr:twoCellAnchor>
    <xdr:from>
      <xdr:col>2</xdr:col>
      <xdr:colOff>533400</xdr:colOff>
      <xdr:row>463</xdr:row>
      <xdr:rowOff>85725</xdr:rowOff>
    </xdr:from>
    <xdr:to>
      <xdr:col>2</xdr:col>
      <xdr:colOff>752475</xdr:colOff>
      <xdr:row>465</xdr:row>
      <xdr:rowOff>38100</xdr:rowOff>
    </xdr:to>
    <xdr:sp macro="" textlink="">
      <xdr:nvSpPr>
        <xdr:cNvPr id="655" name="Lin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ShapeType="1"/>
        </xdr:cNvSpPr>
      </xdr:nvSpPr>
      <xdr:spPr bwMode="auto">
        <a:xfrm flipH="1">
          <a:off x="1628775" y="94497525"/>
          <a:ext cx="2190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614891</xdr:colOff>
      <xdr:row>475</xdr:row>
      <xdr:rowOff>30692</xdr:rowOff>
    </xdr:from>
    <xdr:to>
      <xdr:col>6</xdr:col>
      <xdr:colOff>734483</xdr:colOff>
      <xdr:row>476</xdr:row>
      <xdr:rowOff>116417</xdr:rowOff>
    </xdr:to>
    <xdr:sp macro="" textlink="">
      <xdr:nvSpPr>
        <xdr:cNvPr id="656" name="Text 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620558" y="97503192"/>
          <a:ext cx="1791758" cy="28680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Book Antiqua"/>
            </a:rPr>
            <a:t>Inverted Filter</a:t>
          </a:r>
        </a:p>
      </xdr:txBody>
    </xdr:sp>
    <xdr:clientData/>
  </xdr:twoCellAnchor>
  <xdr:twoCellAnchor>
    <xdr:from>
      <xdr:col>1</xdr:col>
      <xdr:colOff>371475</xdr:colOff>
      <xdr:row>550</xdr:row>
      <xdr:rowOff>95250</xdr:rowOff>
    </xdr:from>
    <xdr:to>
      <xdr:col>2</xdr:col>
      <xdr:colOff>95250</xdr:colOff>
      <xdr:row>553</xdr:row>
      <xdr:rowOff>171450</xdr:rowOff>
    </xdr:to>
    <xdr:sp macro="" textlink="">
      <xdr:nvSpPr>
        <xdr:cNvPr id="659" name="Line 65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ShapeType="1"/>
        </xdr:cNvSpPr>
      </xdr:nvSpPr>
      <xdr:spPr bwMode="auto">
        <a:xfrm>
          <a:off x="723900" y="112575975"/>
          <a:ext cx="4667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553</xdr:row>
      <xdr:rowOff>171450</xdr:rowOff>
    </xdr:from>
    <xdr:to>
      <xdr:col>2</xdr:col>
      <xdr:colOff>95250</xdr:colOff>
      <xdr:row>554</xdr:row>
      <xdr:rowOff>142875</xdr:rowOff>
    </xdr:to>
    <xdr:sp macro="" textlink="">
      <xdr:nvSpPr>
        <xdr:cNvPr id="660" name="Line 66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ShapeType="1"/>
        </xdr:cNvSpPr>
      </xdr:nvSpPr>
      <xdr:spPr bwMode="auto">
        <a:xfrm>
          <a:off x="1190625" y="1132522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733425</xdr:colOff>
      <xdr:row>553</xdr:row>
      <xdr:rowOff>171450</xdr:rowOff>
    </xdr:from>
    <xdr:to>
      <xdr:col>6</xdr:col>
      <xdr:colOff>733425</xdr:colOff>
      <xdr:row>555</xdr:row>
      <xdr:rowOff>28575</xdr:rowOff>
    </xdr:to>
    <xdr:sp macro="" textlink="">
      <xdr:nvSpPr>
        <xdr:cNvPr id="661" name="Line 66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ShapeType="1"/>
        </xdr:cNvSpPr>
      </xdr:nvSpPr>
      <xdr:spPr bwMode="auto">
        <a:xfrm>
          <a:off x="4638675" y="1132522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554</xdr:row>
      <xdr:rowOff>142875</xdr:rowOff>
    </xdr:from>
    <xdr:to>
      <xdr:col>6</xdr:col>
      <xdr:colOff>742950</xdr:colOff>
      <xdr:row>555</xdr:row>
      <xdr:rowOff>28575</xdr:rowOff>
    </xdr:to>
    <xdr:sp macro="" textlink="">
      <xdr:nvSpPr>
        <xdr:cNvPr id="662" name="Line 66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ShapeType="1"/>
        </xdr:cNvSpPr>
      </xdr:nvSpPr>
      <xdr:spPr bwMode="auto">
        <a:xfrm>
          <a:off x="1190625" y="113423700"/>
          <a:ext cx="34575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556</xdr:row>
      <xdr:rowOff>95250</xdr:rowOff>
    </xdr:from>
    <xdr:to>
      <xdr:col>7</xdr:col>
      <xdr:colOff>533400</xdr:colOff>
      <xdr:row>556</xdr:row>
      <xdr:rowOff>171450</xdr:rowOff>
    </xdr:to>
    <xdr:sp macro="" textlink="">
      <xdr:nvSpPr>
        <xdr:cNvPr id="663" name="Rectangle 66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 rot="842174">
          <a:off x="1162050" y="113776125"/>
          <a:ext cx="404812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553</xdr:row>
      <xdr:rowOff>171450</xdr:rowOff>
    </xdr:from>
    <xdr:to>
      <xdr:col>6</xdr:col>
      <xdr:colOff>733425</xdr:colOff>
      <xdr:row>554</xdr:row>
      <xdr:rowOff>142875</xdr:rowOff>
    </xdr:to>
    <xdr:sp macro="" textlink="">
      <xdr:nvSpPr>
        <xdr:cNvPr id="664" name="Rectangle 66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1190625" y="113252250"/>
          <a:ext cx="34480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428625</xdr:colOff>
      <xdr:row>550</xdr:row>
      <xdr:rowOff>180975</xdr:rowOff>
    </xdr:from>
    <xdr:to>
      <xdr:col>7</xdr:col>
      <xdr:colOff>638175</xdr:colOff>
      <xdr:row>550</xdr:row>
      <xdr:rowOff>180975</xdr:rowOff>
    </xdr:to>
    <xdr:sp macro="" textlink="">
      <xdr:nvSpPr>
        <xdr:cNvPr id="665" name="Line 66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ShapeType="1"/>
        </xdr:cNvSpPr>
      </xdr:nvSpPr>
      <xdr:spPr bwMode="auto">
        <a:xfrm>
          <a:off x="781050" y="112661700"/>
          <a:ext cx="453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333375</xdr:colOff>
      <xdr:row>550</xdr:row>
      <xdr:rowOff>38100</xdr:rowOff>
    </xdr:from>
    <xdr:to>
      <xdr:col>4</xdr:col>
      <xdr:colOff>561975</xdr:colOff>
      <xdr:row>550</xdr:row>
      <xdr:rowOff>171450</xdr:rowOff>
    </xdr:to>
    <xdr:sp macro="" textlink="">
      <xdr:nvSpPr>
        <xdr:cNvPr id="666" name="AutoShape 66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 rot="10800000">
          <a:off x="2828925" y="112518825"/>
          <a:ext cx="228600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295275</xdr:colOff>
      <xdr:row>551</xdr:row>
      <xdr:rowOff>9525</xdr:rowOff>
    </xdr:from>
    <xdr:to>
      <xdr:col>5</xdr:col>
      <xdr:colOff>19050</xdr:colOff>
      <xdr:row>551</xdr:row>
      <xdr:rowOff>9525</xdr:rowOff>
    </xdr:to>
    <xdr:sp macro="" textlink="">
      <xdr:nvSpPr>
        <xdr:cNvPr id="667" name="Line 667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ShapeType="1"/>
        </xdr:cNvSpPr>
      </xdr:nvSpPr>
      <xdr:spPr bwMode="auto">
        <a:xfrm>
          <a:off x="2790825" y="1126902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342900</xdr:colOff>
      <xdr:row>551</xdr:row>
      <xdr:rowOff>38100</xdr:rowOff>
    </xdr:from>
    <xdr:to>
      <xdr:col>4</xdr:col>
      <xdr:colOff>657225</xdr:colOff>
      <xdr:row>551</xdr:row>
      <xdr:rowOff>38100</xdr:rowOff>
    </xdr:to>
    <xdr:sp macro="" textlink="">
      <xdr:nvSpPr>
        <xdr:cNvPr id="668" name="Line 66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ShapeType="1"/>
        </xdr:cNvSpPr>
      </xdr:nvSpPr>
      <xdr:spPr bwMode="auto">
        <a:xfrm>
          <a:off x="2838450" y="11271885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551</xdr:row>
      <xdr:rowOff>66675</xdr:rowOff>
    </xdr:from>
    <xdr:to>
      <xdr:col>4</xdr:col>
      <xdr:colOff>571500</xdr:colOff>
      <xdr:row>551</xdr:row>
      <xdr:rowOff>66675</xdr:rowOff>
    </xdr:to>
    <xdr:sp macro="" textlink="">
      <xdr:nvSpPr>
        <xdr:cNvPr id="669" name="Line 66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ShapeType="1"/>
        </xdr:cNvSpPr>
      </xdr:nvSpPr>
      <xdr:spPr bwMode="auto">
        <a:xfrm>
          <a:off x="2876550" y="1127474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555</xdr:row>
      <xdr:rowOff>28575</xdr:rowOff>
    </xdr:from>
    <xdr:to>
      <xdr:col>7</xdr:col>
      <xdr:colOff>476250</xdr:colOff>
      <xdr:row>559</xdr:row>
      <xdr:rowOff>0</xdr:rowOff>
    </xdr:to>
    <xdr:sp macro="" textlink="">
      <xdr:nvSpPr>
        <xdr:cNvPr id="670" name="Freeform 670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/>
        </xdr:cNvSpPr>
      </xdr:nvSpPr>
      <xdr:spPr bwMode="auto">
        <a:xfrm>
          <a:off x="4619625" y="113509425"/>
          <a:ext cx="533400" cy="771525"/>
        </a:xfrm>
        <a:custGeom>
          <a:avLst/>
          <a:gdLst>
            <a:gd name="T0" fmla="*/ 2147483647 w 56"/>
            <a:gd name="T1" fmla="*/ 0 h 81"/>
            <a:gd name="T2" fmla="*/ 2147483647 w 56"/>
            <a:gd name="T3" fmla="*/ 2147483647 h 81"/>
            <a:gd name="T4" fmla="*/ 2147483647 w 56"/>
            <a:gd name="T5" fmla="*/ 2147483647 h 81"/>
            <a:gd name="T6" fmla="*/ 2147483647 w 56"/>
            <a:gd name="T7" fmla="*/ 2147483647 h 81"/>
            <a:gd name="T8" fmla="*/ 0 60000 65536"/>
            <a:gd name="T9" fmla="*/ 0 60000 65536"/>
            <a:gd name="T10" fmla="*/ 0 60000 65536"/>
            <a:gd name="T11" fmla="*/ 0 60000 65536"/>
            <a:gd name="T12" fmla="*/ 0 w 56"/>
            <a:gd name="T13" fmla="*/ 0 h 81"/>
            <a:gd name="T14" fmla="*/ 56 w 56"/>
            <a:gd name="T15" fmla="*/ 81 h 8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6" h="81">
              <a:moveTo>
                <a:pt x="3" y="0"/>
              </a:moveTo>
              <a:cubicBezTo>
                <a:pt x="1" y="8"/>
                <a:pt x="0" y="16"/>
                <a:pt x="2" y="22"/>
              </a:cubicBezTo>
              <a:cubicBezTo>
                <a:pt x="4" y="28"/>
                <a:pt x="8" y="27"/>
                <a:pt x="17" y="37"/>
              </a:cubicBezTo>
              <a:cubicBezTo>
                <a:pt x="26" y="47"/>
                <a:pt x="50" y="74"/>
                <a:pt x="56" y="81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742950</xdr:colOff>
      <xdr:row>553</xdr:row>
      <xdr:rowOff>171450</xdr:rowOff>
    </xdr:from>
    <xdr:to>
      <xdr:col>8</xdr:col>
      <xdr:colOff>142875</xdr:colOff>
      <xdr:row>553</xdr:row>
      <xdr:rowOff>171450</xdr:rowOff>
    </xdr:to>
    <xdr:sp macro="" textlink="">
      <xdr:nvSpPr>
        <xdr:cNvPr id="671" name="Line 67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ShapeType="1"/>
        </xdr:cNvSpPr>
      </xdr:nvSpPr>
      <xdr:spPr bwMode="auto">
        <a:xfrm>
          <a:off x="4648200" y="1132522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161925</xdr:colOff>
      <xdr:row>550</xdr:row>
      <xdr:rowOff>180975</xdr:rowOff>
    </xdr:from>
    <xdr:to>
      <xdr:col>8</xdr:col>
      <xdr:colOff>590550</xdr:colOff>
      <xdr:row>550</xdr:row>
      <xdr:rowOff>180975</xdr:rowOff>
    </xdr:to>
    <xdr:sp macro="" textlink="">
      <xdr:nvSpPr>
        <xdr:cNvPr id="672" name="Line 67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ShapeType="1"/>
        </xdr:cNvSpPr>
      </xdr:nvSpPr>
      <xdr:spPr bwMode="auto">
        <a:xfrm>
          <a:off x="5486400" y="1126617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559</xdr:row>
      <xdr:rowOff>95250</xdr:rowOff>
    </xdr:from>
    <xdr:to>
      <xdr:col>8</xdr:col>
      <xdr:colOff>533400</xdr:colOff>
      <xdr:row>559</xdr:row>
      <xdr:rowOff>95250</xdr:rowOff>
    </xdr:to>
    <xdr:sp macro="" textlink="">
      <xdr:nvSpPr>
        <xdr:cNvPr id="673" name="Line 67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ShapeType="1"/>
        </xdr:cNvSpPr>
      </xdr:nvSpPr>
      <xdr:spPr bwMode="auto">
        <a:xfrm flipH="1">
          <a:off x="762000" y="114376200"/>
          <a:ext cx="5095875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550</xdr:row>
      <xdr:rowOff>190500</xdr:rowOff>
    </xdr:from>
    <xdr:to>
      <xdr:col>8</xdr:col>
      <xdr:colOff>476250</xdr:colOff>
      <xdr:row>559</xdr:row>
      <xdr:rowOff>95250</xdr:rowOff>
    </xdr:to>
    <xdr:sp macro="" textlink="">
      <xdr:nvSpPr>
        <xdr:cNvPr id="674" name="Line 67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ShapeType="1"/>
        </xdr:cNvSpPr>
      </xdr:nvSpPr>
      <xdr:spPr bwMode="auto">
        <a:xfrm>
          <a:off x="5800725" y="112671225"/>
          <a:ext cx="0" cy="17049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550</xdr:row>
      <xdr:rowOff>190500</xdr:rowOff>
    </xdr:from>
    <xdr:to>
      <xdr:col>8</xdr:col>
      <xdr:colOff>219075</xdr:colOff>
      <xdr:row>553</xdr:row>
      <xdr:rowOff>180975</xdr:rowOff>
    </xdr:to>
    <xdr:sp macro="" textlink="">
      <xdr:nvSpPr>
        <xdr:cNvPr id="675" name="Line 67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ShapeType="1"/>
        </xdr:cNvSpPr>
      </xdr:nvSpPr>
      <xdr:spPr bwMode="auto">
        <a:xfrm>
          <a:off x="5543550" y="112671225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553</xdr:row>
      <xdr:rowOff>171450</xdr:rowOff>
    </xdr:from>
    <xdr:to>
      <xdr:col>1</xdr:col>
      <xdr:colOff>685800</xdr:colOff>
      <xdr:row>553</xdr:row>
      <xdr:rowOff>171450</xdr:rowOff>
    </xdr:to>
    <xdr:sp macro="" textlink="">
      <xdr:nvSpPr>
        <xdr:cNvPr id="676" name="Line 67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ShapeType="1"/>
        </xdr:cNvSpPr>
      </xdr:nvSpPr>
      <xdr:spPr bwMode="auto">
        <a:xfrm flipH="1">
          <a:off x="762000" y="1132522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554</xdr:row>
      <xdr:rowOff>152400</xdr:rowOff>
    </xdr:from>
    <xdr:to>
      <xdr:col>1</xdr:col>
      <xdr:colOff>685800</xdr:colOff>
      <xdr:row>554</xdr:row>
      <xdr:rowOff>152400</xdr:rowOff>
    </xdr:to>
    <xdr:sp macro="" textlink="">
      <xdr:nvSpPr>
        <xdr:cNvPr id="677" name="Line 67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ShapeType="1"/>
        </xdr:cNvSpPr>
      </xdr:nvSpPr>
      <xdr:spPr bwMode="auto">
        <a:xfrm flipH="1">
          <a:off x="809625" y="1134332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542925</xdr:colOff>
      <xdr:row>553</xdr:row>
      <xdr:rowOff>171450</xdr:rowOff>
    </xdr:from>
    <xdr:to>
      <xdr:col>1</xdr:col>
      <xdr:colOff>542925</xdr:colOff>
      <xdr:row>554</xdr:row>
      <xdr:rowOff>152400</xdr:rowOff>
    </xdr:to>
    <xdr:sp macro="" textlink="">
      <xdr:nvSpPr>
        <xdr:cNvPr id="678" name="Line 67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ShapeType="1"/>
        </xdr:cNvSpPr>
      </xdr:nvSpPr>
      <xdr:spPr bwMode="auto">
        <a:xfrm>
          <a:off x="895350" y="1132522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559</xdr:row>
      <xdr:rowOff>19050</xdr:rowOff>
    </xdr:from>
    <xdr:to>
      <xdr:col>8</xdr:col>
      <xdr:colOff>171450</xdr:colOff>
      <xdr:row>559</xdr:row>
      <xdr:rowOff>104775</xdr:rowOff>
    </xdr:to>
    <xdr:sp macro="" textlink="">
      <xdr:nvSpPr>
        <xdr:cNvPr id="679" name="Line 67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ShapeType="1"/>
        </xdr:cNvSpPr>
      </xdr:nvSpPr>
      <xdr:spPr bwMode="auto">
        <a:xfrm>
          <a:off x="5229225" y="114300000"/>
          <a:ext cx="2667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559</xdr:row>
      <xdr:rowOff>95250</xdr:rowOff>
    </xdr:from>
    <xdr:to>
      <xdr:col>8</xdr:col>
      <xdr:colOff>133350</xdr:colOff>
      <xdr:row>559</xdr:row>
      <xdr:rowOff>180975</xdr:rowOff>
    </xdr:to>
    <xdr:sp macro="" textlink="">
      <xdr:nvSpPr>
        <xdr:cNvPr id="680" name="Line 680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ShapeType="1"/>
        </xdr:cNvSpPr>
      </xdr:nvSpPr>
      <xdr:spPr bwMode="auto">
        <a:xfrm>
          <a:off x="5191125" y="114376200"/>
          <a:ext cx="2667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558</xdr:row>
      <xdr:rowOff>114300</xdr:rowOff>
    </xdr:from>
    <xdr:to>
      <xdr:col>8</xdr:col>
      <xdr:colOff>152400</xdr:colOff>
      <xdr:row>559</xdr:row>
      <xdr:rowOff>76200</xdr:rowOff>
    </xdr:to>
    <xdr:sp macro="" textlink="">
      <xdr:nvSpPr>
        <xdr:cNvPr id="681" name="Line 68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ShapeType="1"/>
        </xdr:cNvSpPr>
      </xdr:nvSpPr>
      <xdr:spPr bwMode="auto">
        <a:xfrm flipH="1">
          <a:off x="5419725" y="114195225"/>
          <a:ext cx="571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559</xdr:row>
      <xdr:rowOff>142875</xdr:rowOff>
    </xdr:from>
    <xdr:to>
      <xdr:col>8</xdr:col>
      <xdr:colOff>47625</xdr:colOff>
      <xdr:row>560</xdr:row>
      <xdr:rowOff>133350</xdr:rowOff>
    </xdr:to>
    <xdr:sp macro="" textlink="">
      <xdr:nvSpPr>
        <xdr:cNvPr id="682" name="Line 68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ShapeType="1"/>
        </xdr:cNvSpPr>
      </xdr:nvSpPr>
      <xdr:spPr bwMode="auto">
        <a:xfrm flipV="1">
          <a:off x="5267325" y="114423825"/>
          <a:ext cx="1047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552</xdr:row>
      <xdr:rowOff>142875</xdr:rowOff>
    </xdr:from>
    <xdr:to>
      <xdr:col>2</xdr:col>
      <xdr:colOff>95250</xdr:colOff>
      <xdr:row>553</xdr:row>
      <xdr:rowOff>104775</xdr:rowOff>
    </xdr:to>
    <xdr:sp macro="" textlink="">
      <xdr:nvSpPr>
        <xdr:cNvPr id="683" name="Line 68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ShapeType="1"/>
        </xdr:cNvSpPr>
      </xdr:nvSpPr>
      <xdr:spPr bwMode="auto">
        <a:xfrm flipV="1">
          <a:off x="1190625" y="1130236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742950</xdr:colOff>
      <xdr:row>552</xdr:row>
      <xdr:rowOff>142875</xdr:rowOff>
    </xdr:from>
    <xdr:to>
      <xdr:col>6</xdr:col>
      <xdr:colOff>742950</xdr:colOff>
      <xdr:row>553</xdr:row>
      <xdr:rowOff>133350</xdr:rowOff>
    </xdr:to>
    <xdr:sp macro="" textlink="">
      <xdr:nvSpPr>
        <xdr:cNvPr id="684" name="Line 68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ShapeType="1"/>
        </xdr:cNvSpPr>
      </xdr:nvSpPr>
      <xdr:spPr bwMode="auto">
        <a:xfrm flipV="1">
          <a:off x="4648200" y="1130236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553</xdr:row>
      <xdr:rowOff>19050</xdr:rowOff>
    </xdr:from>
    <xdr:to>
      <xdr:col>6</xdr:col>
      <xdr:colOff>742950</xdr:colOff>
      <xdr:row>553</xdr:row>
      <xdr:rowOff>19050</xdr:rowOff>
    </xdr:to>
    <xdr:sp macro="" textlink="">
      <xdr:nvSpPr>
        <xdr:cNvPr id="685" name="Line 68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ShapeType="1"/>
        </xdr:cNvSpPr>
      </xdr:nvSpPr>
      <xdr:spPr bwMode="auto">
        <a:xfrm>
          <a:off x="1190625" y="113099850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555</xdr:row>
      <xdr:rowOff>19050</xdr:rowOff>
    </xdr:from>
    <xdr:to>
      <xdr:col>7</xdr:col>
      <xdr:colOff>276225</xdr:colOff>
      <xdr:row>555</xdr:row>
      <xdr:rowOff>19050</xdr:rowOff>
    </xdr:to>
    <xdr:sp macro="" textlink="">
      <xdr:nvSpPr>
        <xdr:cNvPr id="686" name="Line 6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ShapeType="1"/>
        </xdr:cNvSpPr>
      </xdr:nvSpPr>
      <xdr:spPr bwMode="auto">
        <a:xfrm>
          <a:off x="4714875" y="11349990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553</xdr:row>
      <xdr:rowOff>171450</xdr:rowOff>
    </xdr:from>
    <xdr:to>
      <xdr:col>7</xdr:col>
      <xdr:colOff>152400</xdr:colOff>
      <xdr:row>555</xdr:row>
      <xdr:rowOff>19050</xdr:rowOff>
    </xdr:to>
    <xdr:sp macro="" textlink="">
      <xdr:nvSpPr>
        <xdr:cNvPr id="687" name="Line 6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ShapeType="1"/>
        </xdr:cNvSpPr>
      </xdr:nvSpPr>
      <xdr:spPr bwMode="auto">
        <a:xfrm>
          <a:off x="4819650" y="113252250"/>
          <a:ext cx="95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361950</xdr:colOff>
      <xdr:row>553</xdr:row>
      <xdr:rowOff>171450</xdr:rowOff>
    </xdr:from>
    <xdr:to>
      <xdr:col>8</xdr:col>
      <xdr:colOff>152400</xdr:colOff>
      <xdr:row>554</xdr:row>
      <xdr:rowOff>57150</xdr:rowOff>
    </xdr:to>
    <xdr:grpSp>
      <xdr:nvGrpSpPr>
        <xdr:cNvPr id="688" name="Group 68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GrpSpPr>
          <a:grpSpLocks/>
        </xdr:cNvGrpSpPr>
      </xdr:nvGrpSpPr>
      <xdr:grpSpPr bwMode="auto">
        <a:xfrm>
          <a:off x="5838825" y="126568200"/>
          <a:ext cx="628650" cy="85725"/>
          <a:chOff x="534" y="11890"/>
          <a:chExt cx="46" cy="9"/>
        </a:xfrm>
      </xdr:grpSpPr>
      <xdr:sp macro="" textlink="">
        <xdr:nvSpPr>
          <xdr:cNvPr id="689" name="Line 689">
            <a:extLst>
              <a:ext uri="{FF2B5EF4-FFF2-40B4-BE49-F238E27FC236}">
                <a16:creationId xmlns:a16="http://schemas.microsoft.com/office/drawing/2014/main" id="{00000000-0008-0000-0000-0000B1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34" y="11891"/>
            <a:ext cx="5" cy="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0" name="Line 690">
            <a:extLst>
              <a:ext uri="{FF2B5EF4-FFF2-40B4-BE49-F238E27FC236}">
                <a16:creationId xmlns:a16="http://schemas.microsoft.com/office/drawing/2014/main" id="{00000000-0008-0000-0000-0000B2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39" y="11891"/>
            <a:ext cx="5" cy="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1" name="Line 691">
            <a:extLst>
              <a:ext uri="{FF2B5EF4-FFF2-40B4-BE49-F238E27FC236}">
                <a16:creationId xmlns:a16="http://schemas.microsoft.com/office/drawing/2014/main" id="{00000000-0008-0000-0000-0000B3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44" y="11891"/>
            <a:ext cx="5" cy="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" name="Line 692">
            <a:extLst>
              <a:ext uri="{FF2B5EF4-FFF2-40B4-BE49-F238E27FC236}">
                <a16:creationId xmlns:a16="http://schemas.microsoft.com/office/drawing/2014/main" id="{00000000-0008-0000-0000-0000B4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49" y="11892"/>
            <a:ext cx="5" cy="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3" name="Line 693">
            <a:extLst>
              <a:ext uri="{FF2B5EF4-FFF2-40B4-BE49-F238E27FC236}">
                <a16:creationId xmlns:a16="http://schemas.microsoft.com/office/drawing/2014/main" id="{00000000-0008-0000-0000-0000B5020000}"/>
              </a:ext>
            </a:extLst>
          </xdr:cNvPr>
          <xdr:cNvSpPr>
            <a:spLocks noChangeShapeType="1"/>
          </xdr:cNvSpPr>
        </xdr:nvSpPr>
        <xdr:spPr bwMode="auto">
          <a:xfrm>
            <a:off x="554" y="11891"/>
            <a:ext cx="6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4" name="Line 694">
            <a:extLst>
              <a:ext uri="{FF2B5EF4-FFF2-40B4-BE49-F238E27FC236}">
                <a16:creationId xmlns:a16="http://schemas.microsoft.com/office/drawing/2014/main" id="{00000000-0008-0000-0000-0000B6020000}"/>
              </a:ext>
            </a:extLst>
          </xdr:cNvPr>
          <xdr:cNvSpPr>
            <a:spLocks noChangeShapeType="1"/>
          </xdr:cNvSpPr>
        </xdr:nvSpPr>
        <xdr:spPr bwMode="auto">
          <a:xfrm>
            <a:off x="560" y="11890"/>
            <a:ext cx="6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5" name="Line 695">
            <a:extLst>
              <a:ext uri="{FF2B5EF4-FFF2-40B4-BE49-F238E27FC236}">
                <a16:creationId xmlns:a16="http://schemas.microsoft.com/office/drawing/2014/main" id="{00000000-0008-0000-0000-0000B7020000}"/>
              </a:ext>
            </a:extLst>
          </xdr:cNvPr>
          <xdr:cNvSpPr>
            <a:spLocks noChangeShapeType="1"/>
          </xdr:cNvSpPr>
        </xdr:nvSpPr>
        <xdr:spPr bwMode="auto">
          <a:xfrm>
            <a:off x="567" y="11891"/>
            <a:ext cx="6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6" name="Line 696">
            <a:extLst>
              <a:ext uri="{FF2B5EF4-FFF2-40B4-BE49-F238E27FC236}">
                <a16:creationId xmlns:a16="http://schemas.microsoft.com/office/drawing/2014/main" id="{00000000-0008-0000-0000-0000B8020000}"/>
              </a:ext>
            </a:extLst>
          </xdr:cNvPr>
          <xdr:cNvSpPr>
            <a:spLocks noChangeShapeType="1"/>
          </xdr:cNvSpPr>
        </xdr:nvSpPr>
        <xdr:spPr bwMode="auto">
          <a:xfrm>
            <a:off x="574" y="11891"/>
            <a:ext cx="6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561975</xdr:colOff>
      <xdr:row>553</xdr:row>
      <xdr:rowOff>180975</xdr:rowOff>
    </xdr:from>
    <xdr:to>
      <xdr:col>7</xdr:col>
      <xdr:colOff>0</xdr:colOff>
      <xdr:row>555</xdr:row>
      <xdr:rowOff>28575</xdr:rowOff>
    </xdr:to>
    <xdr:grpSp>
      <xdr:nvGrpSpPr>
        <xdr:cNvPr id="697" name="Group 69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GrpSpPr>
          <a:grpSpLocks/>
        </xdr:cNvGrpSpPr>
      </xdr:nvGrpSpPr>
      <xdr:grpSpPr bwMode="auto">
        <a:xfrm>
          <a:off x="5267325" y="126577725"/>
          <a:ext cx="209550" cy="247650"/>
          <a:chOff x="474" y="11891"/>
          <a:chExt cx="19" cy="26"/>
        </a:xfrm>
      </xdr:grpSpPr>
      <xdr:sp macro="" textlink="">
        <xdr:nvSpPr>
          <xdr:cNvPr id="698" name="AutoShape 698">
            <a:extLst>
              <a:ext uri="{FF2B5EF4-FFF2-40B4-BE49-F238E27FC236}">
                <a16:creationId xmlns:a16="http://schemas.microsoft.com/office/drawing/2014/main" id="{00000000-0008-0000-0000-0000BA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9" name="AutoShape 699">
            <a:extLst>
              <a:ext uri="{FF2B5EF4-FFF2-40B4-BE49-F238E27FC236}">
                <a16:creationId xmlns:a16="http://schemas.microsoft.com/office/drawing/2014/main" id="{00000000-0008-0000-0000-0000BB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0" name="AutoShape 700">
            <a:extLst>
              <a:ext uri="{FF2B5EF4-FFF2-40B4-BE49-F238E27FC236}">
                <a16:creationId xmlns:a16="http://schemas.microsoft.com/office/drawing/2014/main" id="{00000000-0008-0000-0000-0000BC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1" name="AutoShape 701">
            <a:extLst>
              <a:ext uri="{FF2B5EF4-FFF2-40B4-BE49-F238E27FC236}">
                <a16:creationId xmlns:a16="http://schemas.microsoft.com/office/drawing/2014/main" id="{00000000-0008-0000-0000-0000BD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2" name="AutoShape 702">
            <a:extLst>
              <a:ext uri="{FF2B5EF4-FFF2-40B4-BE49-F238E27FC236}">
                <a16:creationId xmlns:a16="http://schemas.microsoft.com/office/drawing/2014/main" id="{00000000-0008-0000-0000-0000BE02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390525</xdr:colOff>
      <xdr:row>553</xdr:row>
      <xdr:rowOff>180975</xdr:rowOff>
    </xdr:from>
    <xdr:to>
      <xdr:col>6</xdr:col>
      <xdr:colOff>571500</xdr:colOff>
      <xdr:row>555</xdr:row>
      <xdr:rowOff>28575</xdr:rowOff>
    </xdr:to>
    <xdr:grpSp>
      <xdr:nvGrpSpPr>
        <xdr:cNvPr id="703" name="Group 70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GrpSpPr>
          <a:grpSpLocks/>
        </xdr:cNvGrpSpPr>
      </xdr:nvGrpSpPr>
      <xdr:grpSpPr bwMode="auto">
        <a:xfrm>
          <a:off x="5095875" y="126577725"/>
          <a:ext cx="180975" cy="247650"/>
          <a:chOff x="474" y="11891"/>
          <a:chExt cx="19" cy="26"/>
        </a:xfrm>
      </xdr:grpSpPr>
      <xdr:sp macro="" textlink="">
        <xdr:nvSpPr>
          <xdr:cNvPr id="704" name="AutoShape 704">
            <a:extLst>
              <a:ext uri="{FF2B5EF4-FFF2-40B4-BE49-F238E27FC236}">
                <a16:creationId xmlns:a16="http://schemas.microsoft.com/office/drawing/2014/main" id="{00000000-0008-0000-0000-0000C0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5" name="AutoShape 705">
            <a:extLst>
              <a:ext uri="{FF2B5EF4-FFF2-40B4-BE49-F238E27FC236}">
                <a16:creationId xmlns:a16="http://schemas.microsoft.com/office/drawing/2014/main" id="{00000000-0008-0000-0000-0000C1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6" name="AutoShape 706">
            <a:extLst>
              <a:ext uri="{FF2B5EF4-FFF2-40B4-BE49-F238E27FC236}">
                <a16:creationId xmlns:a16="http://schemas.microsoft.com/office/drawing/2014/main" id="{00000000-0008-0000-0000-0000C2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7" name="AutoShape 707">
            <a:extLst>
              <a:ext uri="{FF2B5EF4-FFF2-40B4-BE49-F238E27FC236}">
                <a16:creationId xmlns:a16="http://schemas.microsoft.com/office/drawing/2014/main" id="{00000000-0008-0000-0000-0000C3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8" name="AutoShape 708">
            <a:extLst>
              <a:ext uri="{FF2B5EF4-FFF2-40B4-BE49-F238E27FC236}">
                <a16:creationId xmlns:a16="http://schemas.microsoft.com/office/drawing/2014/main" id="{00000000-0008-0000-0000-0000C402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553</xdr:row>
      <xdr:rowOff>180975</xdr:rowOff>
    </xdr:from>
    <xdr:to>
      <xdr:col>6</xdr:col>
      <xdr:colOff>428625</xdr:colOff>
      <xdr:row>554</xdr:row>
      <xdr:rowOff>85725</xdr:rowOff>
    </xdr:to>
    <xdr:grpSp>
      <xdr:nvGrpSpPr>
        <xdr:cNvPr id="709" name="Group 70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GrpSpPr>
          <a:grpSpLocks/>
        </xdr:cNvGrpSpPr>
      </xdr:nvGrpSpPr>
      <xdr:grpSpPr bwMode="auto">
        <a:xfrm>
          <a:off x="4705350" y="126577725"/>
          <a:ext cx="428625" cy="104775"/>
          <a:chOff x="413" y="11891"/>
          <a:chExt cx="47" cy="11"/>
        </a:xfrm>
      </xdr:grpSpPr>
      <xdr:grpSp>
        <xdr:nvGrpSpPr>
          <xdr:cNvPr id="710" name="Group 710">
            <a:extLst>
              <a:ext uri="{FF2B5EF4-FFF2-40B4-BE49-F238E27FC236}">
                <a16:creationId xmlns:a16="http://schemas.microsoft.com/office/drawing/2014/main" id="{00000000-0008-0000-0000-0000C6020000}"/>
              </a:ext>
            </a:extLst>
          </xdr:cNvPr>
          <xdr:cNvGrpSpPr>
            <a:grpSpLocks/>
          </xdr:cNvGrpSpPr>
        </xdr:nvGrpSpPr>
        <xdr:grpSpPr bwMode="auto">
          <a:xfrm>
            <a:off x="443" y="11891"/>
            <a:ext cx="17" cy="10"/>
            <a:chOff x="474" y="11891"/>
            <a:chExt cx="19" cy="26"/>
          </a:xfrm>
        </xdr:grpSpPr>
        <xdr:sp macro="" textlink="">
          <xdr:nvSpPr>
            <xdr:cNvPr id="723" name="AutoShape 711">
              <a:extLst>
                <a:ext uri="{FF2B5EF4-FFF2-40B4-BE49-F238E27FC236}">
                  <a16:creationId xmlns:a16="http://schemas.microsoft.com/office/drawing/2014/main" id="{00000000-0008-0000-0000-0000D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4" name="AutoShape 712">
              <a:extLst>
                <a:ext uri="{FF2B5EF4-FFF2-40B4-BE49-F238E27FC236}">
                  <a16:creationId xmlns:a16="http://schemas.microsoft.com/office/drawing/2014/main" id="{00000000-0008-0000-0000-0000D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5" name="AutoShape 713">
              <a:extLst>
                <a:ext uri="{FF2B5EF4-FFF2-40B4-BE49-F238E27FC236}">
                  <a16:creationId xmlns:a16="http://schemas.microsoft.com/office/drawing/2014/main" id="{00000000-0008-0000-0000-0000D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6" name="AutoShape 714">
              <a:extLst>
                <a:ext uri="{FF2B5EF4-FFF2-40B4-BE49-F238E27FC236}">
                  <a16:creationId xmlns:a16="http://schemas.microsoft.com/office/drawing/2014/main" id="{00000000-0008-0000-0000-0000D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7" name="AutoShape 715">
              <a:extLst>
                <a:ext uri="{FF2B5EF4-FFF2-40B4-BE49-F238E27FC236}">
                  <a16:creationId xmlns:a16="http://schemas.microsoft.com/office/drawing/2014/main" id="{00000000-0008-0000-0000-0000D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11" name="Group 716">
            <a:extLst>
              <a:ext uri="{FF2B5EF4-FFF2-40B4-BE49-F238E27FC236}">
                <a16:creationId xmlns:a16="http://schemas.microsoft.com/office/drawing/2014/main" id="{00000000-0008-0000-0000-0000C7020000}"/>
              </a:ext>
            </a:extLst>
          </xdr:cNvPr>
          <xdr:cNvGrpSpPr>
            <a:grpSpLocks/>
          </xdr:cNvGrpSpPr>
        </xdr:nvGrpSpPr>
        <xdr:grpSpPr bwMode="auto">
          <a:xfrm>
            <a:off x="429" y="11892"/>
            <a:ext cx="17" cy="10"/>
            <a:chOff x="474" y="11891"/>
            <a:chExt cx="19" cy="26"/>
          </a:xfrm>
        </xdr:grpSpPr>
        <xdr:sp macro="" textlink="">
          <xdr:nvSpPr>
            <xdr:cNvPr id="718" name="AutoShape 717">
              <a:extLst>
                <a:ext uri="{FF2B5EF4-FFF2-40B4-BE49-F238E27FC236}">
                  <a16:creationId xmlns:a16="http://schemas.microsoft.com/office/drawing/2014/main" id="{00000000-0008-0000-0000-0000C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9" name="AutoShape 718">
              <a:extLst>
                <a:ext uri="{FF2B5EF4-FFF2-40B4-BE49-F238E27FC236}">
                  <a16:creationId xmlns:a16="http://schemas.microsoft.com/office/drawing/2014/main" id="{00000000-0008-0000-0000-0000C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0" name="AutoShape 719">
              <a:extLst>
                <a:ext uri="{FF2B5EF4-FFF2-40B4-BE49-F238E27FC236}">
                  <a16:creationId xmlns:a16="http://schemas.microsoft.com/office/drawing/2014/main" id="{00000000-0008-0000-0000-0000D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1" name="AutoShape 720">
              <a:extLst>
                <a:ext uri="{FF2B5EF4-FFF2-40B4-BE49-F238E27FC236}">
                  <a16:creationId xmlns:a16="http://schemas.microsoft.com/office/drawing/2014/main" id="{00000000-0008-0000-0000-0000D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22" name="AutoShape 721">
              <a:extLst>
                <a:ext uri="{FF2B5EF4-FFF2-40B4-BE49-F238E27FC236}">
                  <a16:creationId xmlns:a16="http://schemas.microsoft.com/office/drawing/2014/main" id="{00000000-0008-0000-0000-0000D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12" name="Group 722">
            <a:extLst>
              <a:ext uri="{FF2B5EF4-FFF2-40B4-BE49-F238E27FC236}">
                <a16:creationId xmlns:a16="http://schemas.microsoft.com/office/drawing/2014/main" id="{00000000-0008-0000-0000-0000C8020000}"/>
              </a:ext>
            </a:extLst>
          </xdr:cNvPr>
          <xdr:cNvGrpSpPr>
            <a:grpSpLocks/>
          </xdr:cNvGrpSpPr>
        </xdr:nvGrpSpPr>
        <xdr:grpSpPr bwMode="auto">
          <a:xfrm>
            <a:off x="413" y="11891"/>
            <a:ext cx="17" cy="10"/>
            <a:chOff x="474" y="11891"/>
            <a:chExt cx="19" cy="26"/>
          </a:xfrm>
        </xdr:grpSpPr>
        <xdr:sp macro="" textlink="">
          <xdr:nvSpPr>
            <xdr:cNvPr id="713" name="AutoShape 723">
              <a:extLst>
                <a:ext uri="{FF2B5EF4-FFF2-40B4-BE49-F238E27FC236}">
                  <a16:creationId xmlns:a16="http://schemas.microsoft.com/office/drawing/2014/main" id="{00000000-0008-0000-0000-0000C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4" name="AutoShape 724">
              <a:extLst>
                <a:ext uri="{FF2B5EF4-FFF2-40B4-BE49-F238E27FC236}">
                  <a16:creationId xmlns:a16="http://schemas.microsoft.com/office/drawing/2014/main" id="{00000000-0008-0000-0000-0000C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5" name="AutoShape 725">
              <a:extLst>
                <a:ext uri="{FF2B5EF4-FFF2-40B4-BE49-F238E27FC236}">
                  <a16:creationId xmlns:a16="http://schemas.microsoft.com/office/drawing/2014/main" id="{00000000-0008-0000-0000-0000C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6" name="AutoShape 726">
              <a:extLst>
                <a:ext uri="{FF2B5EF4-FFF2-40B4-BE49-F238E27FC236}">
                  <a16:creationId xmlns:a16="http://schemas.microsoft.com/office/drawing/2014/main" id="{00000000-0008-0000-0000-0000C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17" name="AutoShape 727">
              <a:extLst>
                <a:ext uri="{FF2B5EF4-FFF2-40B4-BE49-F238E27FC236}">
                  <a16:creationId xmlns:a16="http://schemas.microsoft.com/office/drawing/2014/main" id="{00000000-0008-0000-0000-0000C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5</xdr:col>
      <xdr:colOff>257175</xdr:colOff>
      <xdr:row>554</xdr:row>
      <xdr:rowOff>0</xdr:rowOff>
    </xdr:from>
    <xdr:to>
      <xdr:col>6</xdr:col>
      <xdr:colOff>0</xdr:colOff>
      <xdr:row>554</xdr:row>
      <xdr:rowOff>95250</xdr:rowOff>
    </xdr:to>
    <xdr:grpSp>
      <xdr:nvGrpSpPr>
        <xdr:cNvPr id="728" name="Group 72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GrpSpPr>
          <a:grpSpLocks/>
        </xdr:cNvGrpSpPr>
      </xdr:nvGrpSpPr>
      <xdr:grpSpPr bwMode="auto">
        <a:xfrm>
          <a:off x="4200525" y="126596775"/>
          <a:ext cx="504825" cy="95250"/>
          <a:chOff x="413" y="11891"/>
          <a:chExt cx="47" cy="11"/>
        </a:xfrm>
      </xdr:grpSpPr>
      <xdr:grpSp>
        <xdr:nvGrpSpPr>
          <xdr:cNvPr id="729" name="Group 729">
            <a:extLst>
              <a:ext uri="{FF2B5EF4-FFF2-40B4-BE49-F238E27FC236}">
                <a16:creationId xmlns:a16="http://schemas.microsoft.com/office/drawing/2014/main" id="{00000000-0008-0000-0000-0000D9020000}"/>
              </a:ext>
            </a:extLst>
          </xdr:cNvPr>
          <xdr:cNvGrpSpPr>
            <a:grpSpLocks/>
          </xdr:cNvGrpSpPr>
        </xdr:nvGrpSpPr>
        <xdr:grpSpPr bwMode="auto">
          <a:xfrm>
            <a:off x="443" y="11891"/>
            <a:ext cx="17" cy="10"/>
            <a:chOff x="474" y="11891"/>
            <a:chExt cx="19" cy="26"/>
          </a:xfrm>
        </xdr:grpSpPr>
        <xdr:sp macro="" textlink="">
          <xdr:nvSpPr>
            <xdr:cNvPr id="742" name="AutoShape 730">
              <a:extLst>
                <a:ext uri="{FF2B5EF4-FFF2-40B4-BE49-F238E27FC236}">
                  <a16:creationId xmlns:a16="http://schemas.microsoft.com/office/drawing/2014/main" id="{00000000-0008-0000-0000-0000E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3" name="AutoShape 731">
              <a:extLst>
                <a:ext uri="{FF2B5EF4-FFF2-40B4-BE49-F238E27FC236}">
                  <a16:creationId xmlns:a16="http://schemas.microsoft.com/office/drawing/2014/main" id="{00000000-0008-0000-0000-0000E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4" name="AutoShape 732">
              <a:extLst>
                <a:ext uri="{FF2B5EF4-FFF2-40B4-BE49-F238E27FC236}">
                  <a16:creationId xmlns:a16="http://schemas.microsoft.com/office/drawing/2014/main" id="{00000000-0008-0000-0000-0000E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5" name="AutoShape 733">
              <a:extLst>
                <a:ext uri="{FF2B5EF4-FFF2-40B4-BE49-F238E27FC236}">
                  <a16:creationId xmlns:a16="http://schemas.microsoft.com/office/drawing/2014/main" id="{00000000-0008-0000-0000-0000E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6" name="AutoShape 734">
              <a:extLst>
                <a:ext uri="{FF2B5EF4-FFF2-40B4-BE49-F238E27FC236}">
                  <a16:creationId xmlns:a16="http://schemas.microsoft.com/office/drawing/2014/main" id="{00000000-0008-0000-0000-0000E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30" name="Group 735">
            <a:extLst>
              <a:ext uri="{FF2B5EF4-FFF2-40B4-BE49-F238E27FC236}">
                <a16:creationId xmlns:a16="http://schemas.microsoft.com/office/drawing/2014/main" id="{00000000-0008-0000-0000-0000DA020000}"/>
              </a:ext>
            </a:extLst>
          </xdr:cNvPr>
          <xdr:cNvGrpSpPr>
            <a:grpSpLocks/>
          </xdr:cNvGrpSpPr>
        </xdr:nvGrpSpPr>
        <xdr:grpSpPr bwMode="auto">
          <a:xfrm>
            <a:off x="429" y="11892"/>
            <a:ext cx="17" cy="10"/>
            <a:chOff x="474" y="11891"/>
            <a:chExt cx="19" cy="26"/>
          </a:xfrm>
        </xdr:grpSpPr>
        <xdr:sp macro="" textlink="">
          <xdr:nvSpPr>
            <xdr:cNvPr id="737" name="AutoShape 736">
              <a:extLst>
                <a:ext uri="{FF2B5EF4-FFF2-40B4-BE49-F238E27FC236}">
                  <a16:creationId xmlns:a16="http://schemas.microsoft.com/office/drawing/2014/main" id="{00000000-0008-0000-0000-0000E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8" name="AutoShape 737">
              <a:extLst>
                <a:ext uri="{FF2B5EF4-FFF2-40B4-BE49-F238E27FC236}">
                  <a16:creationId xmlns:a16="http://schemas.microsoft.com/office/drawing/2014/main" id="{00000000-0008-0000-0000-0000E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9" name="AutoShape 738">
              <a:extLst>
                <a:ext uri="{FF2B5EF4-FFF2-40B4-BE49-F238E27FC236}">
                  <a16:creationId xmlns:a16="http://schemas.microsoft.com/office/drawing/2014/main" id="{00000000-0008-0000-0000-0000E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0" name="AutoShape 739">
              <a:extLst>
                <a:ext uri="{FF2B5EF4-FFF2-40B4-BE49-F238E27FC236}">
                  <a16:creationId xmlns:a16="http://schemas.microsoft.com/office/drawing/2014/main" id="{00000000-0008-0000-0000-0000E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41" name="AutoShape 740">
              <a:extLst>
                <a:ext uri="{FF2B5EF4-FFF2-40B4-BE49-F238E27FC236}">
                  <a16:creationId xmlns:a16="http://schemas.microsoft.com/office/drawing/2014/main" id="{00000000-0008-0000-0000-0000E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31" name="Group 741">
            <a:extLst>
              <a:ext uri="{FF2B5EF4-FFF2-40B4-BE49-F238E27FC236}">
                <a16:creationId xmlns:a16="http://schemas.microsoft.com/office/drawing/2014/main" id="{00000000-0008-0000-0000-0000DB020000}"/>
              </a:ext>
            </a:extLst>
          </xdr:cNvPr>
          <xdr:cNvGrpSpPr>
            <a:grpSpLocks/>
          </xdr:cNvGrpSpPr>
        </xdr:nvGrpSpPr>
        <xdr:grpSpPr bwMode="auto">
          <a:xfrm>
            <a:off x="413" y="11891"/>
            <a:ext cx="17" cy="10"/>
            <a:chOff x="474" y="11891"/>
            <a:chExt cx="19" cy="26"/>
          </a:xfrm>
        </xdr:grpSpPr>
        <xdr:sp macro="" textlink="">
          <xdr:nvSpPr>
            <xdr:cNvPr id="732" name="AutoShape 742">
              <a:extLst>
                <a:ext uri="{FF2B5EF4-FFF2-40B4-BE49-F238E27FC236}">
                  <a16:creationId xmlns:a16="http://schemas.microsoft.com/office/drawing/2014/main" id="{00000000-0008-0000-0000-0000D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3" name="AutoShape 743">
              <a:extLst>
                <a:ext uri="{FF2B5EF4-FFF2-40B4-BE49-F238E27FC236}">
                  <a16:creationId xmlns:a16="http://schemas.microsoft.com/office/drawing/2014/main" id="{00000000-0008-0000-0000-0000D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4" name="AutoShape 744">
              <a:extLst>
                <a:ext uri="{FF2B5EF4-FFF2-40B4-BE49-F238E27FC236}">
                  <a16:creationId xmlns:a16="http://schemas.microsoft.com/office/drawing/2014/main" id="{00000000-0008-0000-0000-0000D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5" name="AutoShape 745">
              <a:extLst>
                <a:ext uri="{FF2B5EF4-FFF2-40B4-BE49-F238E27FC236}">
                  <a16:creationId xmlns:a16="http://schemas.microsoft.com/office/drawing/2014/main" id="{00000000-0008-0000-0000-0000D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36" name="AutoShape 746">
              <a:extLst>
                <a:ext uri="{FF2B5EF4-FFF2-40B4-BE49-F238E27FC236}">
                  <a16:creationId xmlns:a16="http://schemas.microsoft.com/office/drawing/2014/main" id="{00000000-0008-0000-0000-0000E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5</xdr:col>
      <xdr:colOff>85725</xdr:colOff>
      <xdr:row>553</xdr:row>
      <xdr:rowOff>180975</xdr:rowOff>
    </xdr:from>
    <xdr:to>
      <xdr:col>5</xdr:col>
      <xdr:colOff>276225</xdr:colOff>
      <xdr:row>554</xdr:row>
      <xdr:rowOff>180975</xdr:rowOff>
    </xdr:to>
    <xdr:grpSp>
      <xdr:nvGrpSpPr>
        <xdr:cNvPr id="747" name="Group 74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GrpSpPr>
          <a:grpSpLocks/>
        </xdr:cNvGrpSpPr>
      </xdr:nvGrpSpPr>
      <xdr:grpSpPr bwMode="auto">
        <a:xfrm>
          <a:off x="4029075" y="126577725"/>
          <a:ext cx="190500" cy="200025"/>
          <a:chOff x="474" y="11891"/>
          <a:chExt cx="19" cy="26"/>
        </a:xfrm>
      </xdr:grpSpPr>
      <xdr:sp macro="" textlink="">
        <xdr:nvSpPr>
          <xdr:cNvPr id="748" name="AutoShape 748">
            <a:extLst>
              <a:ext uri="{FF2B5EF4-FFF2-40B4-BE49-F238E27FC236}">
                <a16:creationId xmlns:a16="http://schemas.microsoft.com/office/drawing/2014/main" id="{00000000-0008-0000-0000-0000EC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49" name="AutoShape 749">
            <a:extLst>
              <a:ext uri="{FF2B5EF4-FFF2-40B4-BE49-F238E27FC236}">
                <a16:creationId xmlns:a16="http://schemas.microsoft.com/office/drawing/2014/main" id="{00000000-0008-0000-0000-0000ED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0" name="AutoShape 750">
            <a:extLst>
              <a:ext uri="{FF2B5EF4-FFF2-40B4-BE49-F238E27FC236}">
                <a16:creationId xmlns:a16="http://schemas.microsoft.com/office/drawing/2014/main" id="{00000000-0008-0000-0000-0000EE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1" name="AutoShape 751">
            <a:extLst>
              <a:ext uri="{FF2B5EF4-FFF2-40B4-BE49-F238E27FC236}">
                <a16:creationId xmlns:a16="http://schemas.microsoft.com/office/drawing/2014/main" id="{00000000-0008-0000-0000-0000EF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2" name="AutoShape 752">
            <a:extLst>
              <a:ext uri="{FF2B5EF4-FFF2-40B4-BE49-F238E27FC236}">
                <a16:creationId xmlns:a16="http://schemas.microsoft.com/office/drawing/2014/main" id="{00000000-0008-0000-0000-0000F002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553</xdr:row>
      <xdr:rowOff>180975</xdr:rowOff>
    </xdr:from>
    <xdr:to>
      <xdr:col>5</xdr:col>
      <xdr:colOff>104775</xdr:colOff>
      <xdr:row>554</xdr:row>
      <xdr:rowOff>180975</xdr:rowOff>
    </xdr:to>
    <xdr:grpSp>
      <xdr:nvGrpSpPr>
        <xdr:cNvPr id="753" name="Group 75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GrpSpPr>
          <a:grpSpLocks/>
        </xdr:cNvGrpSpPr>
      </xdr:nvGrpSpPr>
      <xdr:grpSpPr bwMode="auto">
        <a:xfrm>
          <a:off x="3943350" y="126577725"/>
          <a:ext cx="104775" cy="200025"/>
          <a:chOff x="474" y="11891"/>
          <a:chExt cx="19" cy="26"/>
        </a:xfrm>
      </xdr:grpSpPr>
      <xdr:sp macro="" textlink="">
        <xdr:nvSpPr>
          <xdr:cNvPr id="754" name="AutoShape 754">
            <a:extLst>
              <a:ext uri="{FF2B5EF4-FFF2-40B4-BE49-F238E27FC236}">
                <a16:creationId xmlns:a16="http://schemas.microsoft.com/office/drawing/2014/main" id="{00000000-0008-0000-0000-0000F2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5" name="AutoShape 755">
            <a:extLst>
              <a:ext uri="{FF2B5EF4-FFF2-40B4-BE49-F238E27FC236}">
                <a16:creationId xmlns:a16="http://schemas.microsoft.com/office/drawing/2014/main" id="{00000000-0008-0000-0000-0000F3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6" name="AutoShape 756">
            <a:extLst>
              <a:ext uri="{FF2B5EF4-FFF2-40B4-BE49-F238E27FC236}">
                <a16:creationId xmlns:a16="http://schemas.microsoft.com/office/drawing/2014/main" id="{00000000-0008-0000-0000-0000F4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7" name="AutoShape 757">
            <a:extLst>
              <a:ext uri="{FF2B5EF4-FFF2-40B4-BE49-F238E27FC236}">
                <a16:creationId xmlns:a16="http://schemas.microsoft.com/office/drawing/2014/main" id="{00000000-0008-0000-0000-0000F5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58" name="AutoShape 758">
            <a:extLst>
              <a:ext uri="{FF2B5EF4-FFF2-40B4-BE49-F238E27FC236}">
                <a16:creationId xmlns:a16="http://schemas.microsoft.com/office/drawing/2014/main" id="{00000000-0008-0000-0000-0000F602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266700</xdr:colOff>
      <xdr:row>553</xdr:row>
      <xdr:rowOff>180975</xdr:rowOff>
    </xdr:from>
    <xdr:to>
      <xdr:col>2</xdr:col>
      <xdr:colOff>457200</xdr:colOff>
      <xdr:row>554</xdr:row>
      <xdr:rowOff>123825</xdr:rowOff>
    </xdr:to>
    <xdr:grpSp>
      <xdr:nvGrpSpPr>
        <xdr:cNvPr id="759" name="Group 75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GrpSpPr>
          <a:grpSpLocks/>
        </xdr:cNvGrpSpPr>
      </xdr:nvGrpSpPr>
      <xdr:grpSpPr bwMode="auto">
        <a:xfrm>
          <a:off x="1752600" y="126577725"/>
          <a:ext cx="190500" cy="142875"/>
          <a:chOff x="474" y="11891"/>
          <a:chExt cx="19" cy="26"/>
        </a:xfrm>
      </xdr:grpSpPr>
      <xdr:sp macro="" textlink="">
        <xdr:nvSpPr>
          <xdr:cNvPr id="760" name="AutoShape 760">
            <a:extLst>
              <a:ext uri="{FF2B5EF4-FFF2-40B4-BE49-F238E27FC236}">
                <a16:creationId xmlns:a16="http://schemas.microsoft.com/office/drawing/2014/main" id="{00000000-0008-0000-0000-0000F8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1" name="AutoShape 761">
            <a:extLst>
              <a:ext uri="{FF2B5EF4-FFF2-40B4-BE49-F238E27FC236}">
                <a16:creationId xmlns:a16="http://schemas.microsoft.com/office/drawing/2014/main" id="{00000000-0008-0000-0000-0000F9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2" name="AutoShape 762">
            <a:extLst>
              <a:ext uri="{FF2B5EF4-FFF2-40B4-BE49-F238E27FC236}">
                <a16:creationId xmlns:a16="http://schemas.microsoft.com/office/drawing/2014/main" id="{00000000-0008-0000-0000-0000FA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3" name="AutoShape 763">
            <a:extLst>
              <a:ext uri="{FF2B5EF4-FFF2-40B4-BE49-F238E27FC236}">
                <a16:creationId xmlns:a16="http://schemas.microsoft.com/office/drawing/2014/main" id="{00000000-0008-0000-0000-0000FB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4" name="AutoShape 764">
            <a:extLst>
              <a:ext uri="{FF2B5EF4-FFF2-40B4-BE49-F238E27FC236}">
                <a16:creationId xmlns:a16="http://schemas.microsoft.com/office/drawing/2014/main" id="{00000000-0008-0000-0000-0000FC02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95250</xdr:colOff>
      <xdr:row>553</xdr:row>
      <xdr:rowOff>180975</xdr:rowOff>
    </xdr:from>
    <xdr:to>
      <xdr:col>2</xdr:col>
      <xdr:colOff>295275</xdr:colOff>
      <xdr:row>554</xdr:row>
      <xdr:rowOff>114300</xdr:rowOff>
    </xdr:to>
    <xdr:grpSp>
      <xdr:nvGrpSpPr>
        <xdr:cNvPr id="765" name="Group 76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GrpSpPr>
          <a:grpSpLocks/>
        </xdr:cNvGrpSpPr>
      </xdr:nvGrpSpPr>
      <xdr:grpSpPr bwMode="auto">
        <a:xfrm>
          <a:off x="1581150" y="126577725"/>
          <a:ext cx="200025" cy="133350"/>
          <a:chOff x="474" y="11891"/>
          <a:chExt cx="19" cy="26"/>
        </a:xfrm>
      </xdr:grpSpPr>
      <xdr:sp macro="" textlink="">
        <xdr:nvSpPr>
          <xdr:cNvPr id="766" name="AutoShape 766">
            <a:extLst>
              <a:ext uri="{FF2B5EF4-FFF2-40B4-BE49-F238E27FC236}">
                <a16:creationId xmlns:a16="http://schemas.microsoft.com/office/drawing/2014/main" id="{00000000-0008-0000-0000-0000FE02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891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7" name="AutoShape 767">
            <a:extLst>
              <a:ext uri="{FF2B5EF4-FFF2-40B4-BE49-F238E27FC236}">
                <a16:creationId xmlns:a16="http://schemas.microsoft.com/office/drawing/2014/main" id="{00000000-0008-0000-0000-0000FF020000}"/>
              </a:ext>
            </a:extLst>
          </xdr:cNvPr>
          <xdr:cNvSpPr>
            <a:spLocks noChangeArrowheads="1"/>
          </xdr:cNvSpPr>
        </xdr:nvSpPr>
        <xdr:spPr bwMode="auto">
          <a:xfrm>
            <a:off x="476" y="11896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8" name="AutoShape 768">
            <a:extLst>
              <a:ext uri="{FF2B5EF4-FFF2-40B4-BE49-F238E27FC236}">
                <a16:creationId xmlns:a16="http://schemas.microsoft.com/office/drawing/2014/main" id="{00000000-0008-0000-0000-00000003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2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69" name="AutoShape 769">
            <a:extLst>
              <a:ext uri="{FF2B5EF4-FFF2-40B4-BE49-F238E27FC236}">
                <a16:creationId xmlns:a16="http://schemas.microsoft.com/office/drawing/2014/main" id="{00000000-0008-0000-0000-000001030000}"/>
              </a:ext>
            </a:extLst>
          </xdr:cNvPr>
          <xdr:cNvSpPr>
            <a:spLocks noChangeArrowheads="1"/>
          </xdr:cNvSpPr>
        </xdr:nvSpPr>
        <xdr:spPr bwMode="auto">
          <a:xfrm>
            <a:off x="475" y="11908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70" name="AutoShape 770">
            <a:extLst>
              <a:ext uri="{FF2B5EF4-FFF2-40B4-BE49-F238E27FC236}">
                <a16:creationId xmlns:a16="http://schemas.microsoft.com/office/drawing/2014/main" id="{00000000-0008-0000-0000-000002030000}"/>
              </a:ext>
            </a:extLst>
          </xdr:cNvPr>
          <xdr:cNvSpPr>
            <a:spLocks noChangeArrowheads="1"/>
          </xdr:cNvSpPr>
        </xdr:nvSpPr>
        <xdr:spPr bwMode="auto">
          <a:xfrm>
            <a:off x="474" y="11913"/>
            <a:ext cx="17" cy="4"/>
          </a:xfrm>
          <a:prstGeom prst="cube">
            <a:avLst>
              <a:gd name="adj" fmla="val 25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361950</xdr:colOff>
      <xdr:row>556</xdr:row>
      <xdr:rowOff>85725</xdr:rowOff>
    </xdr:from>
    <xdr:to>
      <xdr:col>5</xdr:col>
      <xdr:colOff>104775</xdr:colOff>
      <xdr:row>556</xdr:row>
      <xdr:rowOff>152400</xdr:rowOff>
    </xdr:to>
    <xdr:grpSp>
      <xdr:nvGrpSpPr>
        <xdr:cNvPr id="771" name="Group 77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GrpSpPr>
          <a:grpSpLocks/>
        </xdr:cNvGrpSpPr>
      </xdr:nvGrpSpPr>
      <xdr:grpSpPr bwMode="auto">
        <a:xfrm rot="1135479">
          <a:off x="3400425" y="127082550"/>
          <a:ext cx="647700" cy="66675"/>
          <a:chOff x="413" y="11891"/>
          <a:chExt cx="47" cy="11"/>
        </a:xfrm>
      </xdr:grpSpPr>
      <xdr:grpSp>
        <xdr:nvGrpSpPr>
          <xdr:cNvPr id="772" name="Group 772">
            <a:extLst>
              <a:ext uri="{FF2B5EF4-FFF2-40B4-BE49-F238E27FC236}">
                <a16:creationId xmlns:a16="http://schemas.microsoft.com/office/drawing/2014/main" id="{00000000-0008-0000-0000-000004030000}"/>
              </a:ext>
            </a:extLst>
          </xdr:cNvPr>
          <xdr:cNvGrpSpPr>
            <a:grpSpLocks/>
          </xdr:cNvGrpSpPr>
        </xdr:nvGrpSpPr>
        <xdr:grpSpPr bwMode="auto">
          <a:xfrm>
            <a:off x="443" y="11891"/>
            <a:ext cx="17" cy="10"/>
            <a:chOff x="474" y="11891"/>
            <a:chExt cx="19" cy="26"/>
          </a:xfrm>
        </xdr:grpSpPr>
        <xdr:sp macro="" textlink="">
          <xdr:nvSpPr>
            <xdr:cNvPr id="785" name="AutoShape 773">
              <a:extLst>
                <a:ext uri="{FF2B5EF4-FFF2-40B4-BE49-F238E27FC236}">
                  <a16:creationId xmlns:a16="http://schemas.microsoft.com/office/drawing/2014/main" id="{00000000-0008-0000-0000-000011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6" name="AutoShape 774">
              <a:extLst>
                <a:ext uri="{FF2B5EF4-FFF2-40B4-BE49-F238E27FC236}">
                  <a16:creationId xmlns:a16="http://schemas.microsoft.com/office/drawing/2014/main" id="{00000000-0008-0000-0000-000012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7" name="AutoShape 775">
              <a:extLst>
                <a:ext uri="{FF2B5EF4-FFF2-40B4-BE49-F238E27FC236}">
                  <a16:creationId xmlns:a16="http://schemas.microsoft.com/office/drawing/2014/main" id="{00000000-0008-0000-0000-000013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8" name="AutoShape 776">
              <a:extLst>
                <a:ext uri="{FF2B5EF4-FFF2-40B4-BE49-F238E27FC236}">
                  <a16:creationId xmlns:a16="http://schemas.microsoft.com/office/drawing/2014/main" id="{00000000-0008-0000-0000-000014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9" name="AutoShape 777">
              <a:extLst>
                <a:ext uri="{FF2B5EF4-FFF2-40B4-BE49-F238E27FC236}">
                  <a16:creationId xmlns:a16="http://schemas.microsoft.com/office/drawing/2014/main" id="{00000000-0008-0000-0000-000015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73" name="Group 778">
            <a:extLst>
              <a:ext uri="{FF2B5EF4-FFF2-40B4-BE49-F238E27FC236}">
                <a16:creationId xmlns:a16="http://schemas.microsoft.com/office/drawing/2014/main" id="{00000000-0008-0000-0000-000005030000}"/>
              </a:ext>
            </a:extLst>
          </xdr:cNvPr>
          <xdr:cNvGrpSpPr>
            <a:grpSpLocks/>
          </xdr:cNvGrpSpPr>
        </xdr:nvGrpSpPr>
        <xdr:grpSpPr bwMode="auto">
          <a:xfrm>
            <a:off x="429" y="11892"/>
            <a:ext cx="17" cy="10"/>
            <a:chOff x="474" y="11891"/>
            <a:chExt cx="19" cy="26"/>
          </a:xfrm>
        </xdr:grpSpPr>
        <xdr:sp macro="" textlink="">
          <xdr:nvSpPr>
            <xdr:cNvPr id="780" name="AutoShape 779">
              <a:extLst>
                <a:ext uri="{FF2B5EF4-FFF2-40B4-BE49-F238E27FC236}">
                  <a16:creationId xmlns:a16="http://schemas.microsoft.com/office/drawing/2014/main" id="{00000000-0008-0000-0000-00000C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1" name="AutoShape 780">
              <a:extLst>
                <a:ext uri="{FF2B5EF4-FFF2-40B4-BE49-F238E27FC236}">
                  <a16:creationId xmlns:a16="http://schemas.microsoft.com/office/drawing/2014/main" id="{00000000-0008-0000-0000-00000D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2" name="AutoShape 781">
              <a:extLst>
                <a:ext uri="{FF2B5EF4-FFF2-40B4-BE49-F238E27FC236}">
                  <a16:creationId xmlns:a16="http://schemas.microsoft.com/office/drawing/2014/main" id="{00000000-0008-0000-0000-00000E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3" name="AutoShape 782">
              <a:extLst>
                <a:ext uri="{FF2B5EF4-FFF2-40B4-BE49-F238E27FC236}">
                  <a16:creationId xmlns:a16="http://schemas.microsoft.com/office/drawing/2014/main" id="{00000000-0008-0000-0000-00000F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84" name="AutoShape 783">
              <a:extLst>
                <a:ext uri="{FF2B5EF4-FFF2-40B4-BE49-F238E27FC236}">
                  <a16:creationId xmlns:a16="http://schemas.microsoft.com/office/drawing/2014/main" id="{00000000-0008-0000-0000-000010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74" name="Group 784">
            <a:extLst>
              <a:ext uri="{FF2B5EF4-FFF2-40B4-BE49-F238E27FC236}">
                <a16:creationId xmlns:a16="http://schemas.microsoft.com/office/drawing/2014/main" id="{00000000-0008-0000-0000-000006030000}"/>
              </a:ext>
            </a:extLst>
          </xdr:cNvPr>
          <xdr:cNvGrpSpPr>
            <a:grpSpLocks/>
          </xdr:cNvGrpSpPr>
        </xdr:nvGrpSpPr>
        <xdr:grpSpPr bwMode="auto">
          <a:xfrm>
            <a:off x="413" y="11891"/>
            <a:ext cx="17" cy="10"/>
            <a:chOff x="474" y="11891"/>
            <a:chExt cx="19" cy="26"/>
          </a:xfrm>
        </xdr:grpSpPr>
        <xdr:sp macro="" textlink="">
          <xdr:nvSpPr>
            <xdr:cNvPr id="775" name="AutoShape 785">
              <a:extLst>
                <a:ext uri="{FF2B5EF4-FFF2-40B4-BE49-F238E27FC236}">
                  <a16:creationId xmlns:a16="http://schemas.microsoft.com/office/drawing/2014/main" id="{00000000-0008-0000-0000-000007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76" name="AutoShape 786">
              <a:extLst>
                <a:ext uri="{FF2B5EF4-FFF2-40B4-BE49-F238E27FC236}">
                  <a16:creationId xmlns:a16="http://schemas.microsoft.com/office/drawing/2014/main" id="{00000000-0008-0000-0000-000008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77" name="AutoShape 787">
              <a:extLst>
                <a:ext uri="{FF2B5EF4-FFF2-40B4-BE49-F238E27FC236}">
                  <a16:creationId xmlns:a16="http://schemas.microsoft.com/office/drawing/2014/main" id="{00000000-0008-0000-0000-000009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78" name="AutoShape 788">
              <a:extLst>
                <a:ext uri="{FF2B5EF4-FFF2-40B4-BE49-F238E27FC236}">
                  <a16:creationId xmlns:a16="http://schemas.microsoft.com/office/drawing/2014/main" id="{00000000-0008-0000-0000-00000A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79" name="AutoShape 789">
              <a:extLst>
                <a:ext uri="{FF2B5EF4-FFF2-40B4-BE49-F238E27FC236}">
                  <a16:creationId xmlns:a16="http://schemas.microsoft.com/office/drawing/2014/main" id="{00000000-0008-0000-0000-00000B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7</xdr:col>
      <xdr:colOff>28575</xdr:colOff>
      <xdr:row>558</xdr:row>
      <xdr:rowOff>152400</xdr:rowOff>
    </xdr:from>
    <xdr:to>
      <xdr:col>7</xdr:col>
      <xdr:colOff>476250</xdr:colOff>
      <xdr:row>559</xdr:row>
      <xdr:rowOff>19050</xdr:rowOff>
    </xdr:to>
    <xdr:grpSp>
      <xdr:nvGrpSpPr>
        <xdr:cNvPr id="790" name="Group 79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GrpSpPr>
          <a:grpSpLocks/>
        </xdr:cNvGrpSpPr>
      </xdr:nvGrpSpPr>
      <xdr:grpSpPr bwMode="auto">
        <a:xfrm rot="1135479">
          <a:off x="5505450" y="127549275"/>
          <a:ext cx="447675" cy="66675"/>
          <a:chOff x="413" y="11891"/>
          <a:chExt cx="47" cy="11"/>
        </a:xfrm>
      </xdr:grpSpPr>
      <xdr:grpSp>
        <xdr:nvGrpSpPr>
          <xdr:cNvPr id="791" name="Group 791">
            <a:extLst>
              <a:ext uri="{FF2B5EF4-FFF2-40B4-BE49-F238E27FC236}">
                <a16:creationId xmlns:a16="http://schemas.microsoft.com/office/drawing/2014/main" id="{00000000-0008-0000-0000-000017030000}"/>
              </a:ext>
            </a:extLst>
          </xdr:cNvPr>
          <xdr:cNvGrpSpPr>
            <a:grpSpLocks/>
          </xdr:cNvGrpSpPr>
        </xdr:nvGrpSpPr>
        <xdr:grpSpPr bwMode="auto">
          <a:xfrm>
            <a:off x="443" y="11891"/>
            <a:ext cx="17" cy="10"/>
            <a:chOff x="474" y="11891"/>
            <a:chExt cx="19" cy="26"/>
          </a:xfrm>
        </xdr:grpSpPr>
        <xdr:sp macro="" textlink="">
          <xdr:nvSpPr>
            <xdr:cNvPr id="804" name="AutoShape 792">
              <a:extLst>
                <a:ext uri="{FF2B5EF4-FFF2-40B4-BE49-F238E27FC236}">
                  <a16:creationId xmlns:a16="http://schemas.microsoft.com/office/drawing/2014/main" id="{00000000-0008-0000-0000-000024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5" name="AutoShape 793">
              <a:extLst>
                <a:ext uri="{FF2B5EF4-FFF2-40B4-BE49-F238E27FC236}">
                  <a16:creationId xmlns:a16="http://schemas.microsoft.com/office/drawing/2014/main" id="{00000000-0008-0000-0000-000025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6" name="AutoShape 794">
              <a:extLst>
                <a:ext uri="{FF2B5EF4-FFF2-40B4-BE49-F238E27FC236}">
                  <a16:creationId xmlns:a16="http://schemas.microsoft.com/office/drawing/2014/main" id="{00000000-0008-0000-0000-000026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7" name="AutoShape 795">
              <a:extLst>
                <a:ext uri="{FF2B5EF4-FFF2-40B4-BE49-F238E27FC236}">
                  <a16:creationId xmlns:a16="http://schemas.microsoft.com/office/drawing/2014/main" id="{00000000-0008-0000-0000-000027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8" name="AutoShape 796">
              <a:extLst>
                <a:ext uri="{FF2B5EF4-FFF2-40B4-BE49-F238E27FC236}">
                  <a16:creationId xmlns:a16="http://schemas.microsoft.com/office/drawing/2014/main" id="{00000000-0008-0000-0000-000028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92" name="Group 797">
            <a:extLst>
              <a:ext uri="{FF2B5EF4-FFF2-40B4-BE49-F238E27FC236}">
                <a16:creationId xmlns:a16="http://schemas.microsoft.com/office/drawing/2014/main" id="{00000000-0008-0000-0000-000018030000}"/>
              </a:ext>
            </a:extLst>
          </xdr:cNvPr>
          <xdr:cNvGrpSpPr>
            <a:grpSpLocks/>
          </xdr:cNvGrpSpPr>
        </xdr:nvGrpSpPr>
        <xdr:grpSpPr bwMode="auto">
          <a:xfrm>
            <a:off x="429" y="11892"/>
            <a:ext cx="17" cy="10"/>
            <a:chOff x="474" y="11891"/>
            <a:chExt cx="19" cy="26"/>
          </a:xfrm>
        </xdr:grpSpPr>
        <xdr:sp macro="" textlink="">
          <xdr:nvSpPr>
            <xdr:cNvPr id="799" name="AutoShape 798">
              <a:extLst>
                <a:ext uri="{FF2B5EF4-FFF2-40B4-BE49-F238E27FC236}">
                  <a16:creationId xmlns:a16="http://schemas.microsoft.com/office/drawing/2014/main" id="{00000000-0008-0000-0000-00001F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0" name="AutoShape 799">
              <a:extLst>
                <a:ext uri="{FF2B5EF4-FFF2-40B4-BE49-F238E27FC236}">
                  <a16:creationId xmlns:a16="http://schemas.microsoft.com/office/drawing/2014/main" id="{00000000-0008-0000-0000-000020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1" name="AutoShape 800">
              <a:extLst>
                <a:ext uri="{FF2B5EF4-FFF2-40B4-BE49-F238E27FC236}">
                  <a16:creationId xmlns:a16="http://schemas.microsoft.com/office/drawing/2014/main" id="{00000000-0008-0000-0000-000021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2" name="AutoShape 801">
              <a:extLst>
                <a:ext uri="{FF2B5EF4-FFF2-40B4-BE49-F238E27FC236}">
                  <a16:creationId xmlns:a16="http://schemas.microsoft.com/office/drawing/2014/main" id="{00000000-0008-0000-0000-000022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03" name="AutoShape 802">
              <a:extLst>
                <a:ext uri="{FF2B5EF4-FFF2-40B4-BE49-F238E27FC236}">
                  <a16:creationId xmlns:a16="http://schemas.microsoft.com/office/drawing/2014/main" id="{00000000-0008-0000-0000-000023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793" name="Group 803">
            <a:extLst>
              <a:ext uri="{FF2B5EF4-FFF2-40B4-BE49-F238E27FC236}">
                <a16:creationId xmlns:a16="http://schemas.microsoft.com/office/drawing/2014/main" id="{00000000-0008-0000-0000-000019030000}"/>
              </a:ext>
            </a:extLst>
          </xdr:cNvPr>
          <xdr:cNvGrpSpPr>
            <a:grpSpLocks/>
          </xdr:cNvGrpSpPr>
        </xdr:nvGrpSpPr>
        <xdr:grpSpPr bwMode="auto">
          <a:xfrm>
            <a:off x="413" y="11891"/>
            <a:ext cx="17" cy="10"/>
            <a:chOff x="474" y="11891"/>
            <a:chExt cx="19" cy="26"/>
          </a:xfrm>
        </xdr:grpSpPr>
        <xdr:sp macro="" textlink="">
          <xdr:nvSpPr>
            <xdr:cNvPr id="794" name="AutoShape 804">
              <a:extLst>
                <a:ext uri="{FF2B5EF4-FFF2-40B4-BE49-F238E27FC236}">
                  <a16:creationId xmlns:a16="http://schemas.microsoft.com/office/drawing/2014/main" id="{00000000-0008-0000-0000-00001A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891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95" name="AutoShape 805">
              <a:extLst>
                <a:ext uri="{FF2B5EF4-FFF2-40B4-BE49-F238E27FC236}">
                  <a16:creationId xmlns:a16="http://schemas.microsoft.com/office/drawing/2014/main" id="{00000000-0008-0000-0000-00001B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6" y="11896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96" name="AutoShape 806">
              <a:extLst>
                <a:ext uri="{FF2B5EF4-FFF2-40B4-BE49-F238E27FC236}">
                  <a16:creationId xmlns:a16="http://schemas.microsoft.com/office/drawing/2014/main" id="{00000000-0008-0000-0000-00001C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2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97" name="AutoShape 807">
              <a:extLst>
                <a:ext uri="{FF2B5EF4-FFF2-40B4-BE49-F238E27FC236}">
                  <a16:creationId xmlns:a16="http://schemas.microsoft.com/office/drawing/2014/main" id="{00000000-0008-0000-0000-00001D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5" y="11908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98" name="AutoShape 808">
              <a:extLst>
                <a:ext uri="{FF2B5EF4-FFF2-40B4-BE49-F238E27FC236}">
                  <a16:creationId xmlns:a16="http://schemas.microsoft.com/office/drawing/2014/main" id="{00000000-0008-0000-0000-00001E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4" y="11913"/>
              <a:ext cx="17" cy="4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628650</xdr:colOff>
      <xdr:row>549</xdr:row>
      <xdr:rowOff>104775</xdr:rowOff>
    </xdr:from>
    <xdr:to>
      <xdr:col>5</xdr:col>
      <xdr:colOff>590550</xdr:colOff>
      <xdr:row>550</xdr:row>
      <xdr:rowOff>123825</xdr:rowOff>
    </xdr:to>
    <xdr:sp macro="" textlink="">
      <xdr:nvSpPr>
        <xdr:cNvPr id="809" name="Text Box 80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124200" y="112385475"/>
          <a:ext cx="6667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W.L</a:t>
          </a:r>
        </a:p>
      </xdr:txBody>
    </xdr:sp>
    <xdr:clientData/>
  </xdr:twoCellAnchor>
  <xdr:twoCellAnchor>
    <xdr:from>
      <xdr:col>0</xdr:col>
      <xdr:colOff>316923</xdr:colOff>
      <xdr:row>553</xdr:row>
      <xdr:rowOff>180109</xdr:rowOff>
    </xdr:from>
    <xdr:to>
      <xdr:col>1</xdr:col>
      <xdr:colOff>469323</xdr:colOff>
      <xdr:row>554</xdr:row>
      <xdr:rowOff>151534</xdr:rowOff>
    </xdr:to>
    <xdr:sp macro="" textlink="">
      <xdr:nvSpPr>
        <xdr:cNvPr id="810" name="Text Box 810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16923" y="126386359"/>
          <a:ext cx="680605" cy="1705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T=1.07t=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521277</xdr:colOff>
      <xdr:row>552</xdr:row>
      <xdr:rowOff>8659</xdr:rowOff>
    </xdr:from>
    <xdr:to>
      <xdr:col>4</xdr:col>
      <xdr:colOff>528204</xdr:colOff>
      <xdr:row>552</xdr:row>
      <xdr:rowOff>173182</xdr:rowOff>
    </xdr:to>
    <xdr:sp macro="" textlink="">
      <xdr:nvSpPr>
        <xdr:cNvPr id="811" name="Text Box 81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841913" y="126015750"/>
          <a:ext cx="734291" cy="1645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2.5 (R' - D')=</a:t>
          </a:r>
        </a:p>
      </xdr:txBody>
    </xdr:sp>
    <xdr:clientData/>
  </xdr:twoCellAnchor>
  <xdr:twoCellAnchor>
    <xdr:from>
      <xdr:col>8</xdr:col>
      <xdr:colOff>38100</xdr:colOff>
      <xdr:row>551</xdr:row>
      <xdr:rowOff>123825</xdr:rowOff>
    </xdr:from>
    <xdr:to>
      <xdr:col>8</xdr:col>
      <xdr:colOff>200025</xdr:colOff>
      <xdr:row>552</xdr:row>
      <xdr:rowOff>171450</xdr:rowOff>
    </xdr:to>
    <xdr:sp macro="" textlink="">
      <xdr:nvSpPr>
        <xdr:cNvPr id="812" name="Text Box 8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5362575" y="112804575"/>
          <a:ext cx="1619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D</a:t>
          </a:r>
        </a:p>
      </xdr:txBody>
    </xdr:sp>
    <xdr:clientData/>
  </xdr:twoCellAnchor>
  <xdr:twoCellAnchor>
    <xdr:from>
      <xdr:col>8</xdr:col>
      <xdr:colOff>266700</xdr:colOff>
      <xdr:row>555</xdr:row>
      <xdr:rowOff>19050</xdr:rowOff>
    </xdr:from>
    <xdr:to>
      <xdr:col>8</xdr:col>
      <xdr:colOff>447675</xdr:colOff>
      <xdr:row>556</xdr:row>
      <xdr:rowOff>76200</xdr:rowOff>
    </xdr:to>
    <xdr:sp macro="" textlink="">
      <xdr:nvSpPr>
        <xdr:cNvPr id="813" name="Text Box 81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5591175" y="113499900"/>
          <a:ext cx="18097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R</a:t>
          </a:r>
        </a:p>
      </xdr:txBody>
    </xdr:sp>
    <xdr:clientData/>
  </xdr:twoCellAnchor>
  <xdr:twoCellAnchor>
    <xdr:from>
      <xdr:col>7</xdr:col>
      <xdr:colOff>209550</xdr:colOff>
      <xdr:row>554</xdr:row>
      <xdr:rowOff>57150</xdr:rowOff>
    </xdr:from>
    <xdr:to>
      <xdr:col>7</xdr:col>
      <xdr:colOff>419100</xdr:colOff>
      <xdr:row>555</xdr:row>
      <xdr:rowOff>38100</xdr:rowOff>
    </xdr:to>
    <xdr:sp macro="" textlink="">
      <xdr:nvSpPr>
        <xdr:cNvPr id="814" name="Text Box 81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4886325" y="113337975"/>
          <a:ext cx="2095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T</a:t>
          </a:r>
        </a:p>
      </xdr:txBody>
    </xdr:sp>
    <xdr:clientData/>
  </xdr:twoCellAnchor>
  <xdr:twoCellAnchor>
    <xdr:from>
      <xdr:col>8</xdr:col>
      <xdr:colOff>219075</xdr:colOff>
      <xdr:row>559</xdr:row>
      <xdr:rowOff>123825</xdr:rowOff>
    </xdr:from>
    <xdr:to>
      <xdr:col>8</xdr:col>
      <xdr:colOff>457200</xdr:colOff>
      <xdr:row>560</xdr:row>
      <xdr:rowOff>123825</xdr:rowOff>
    </xdr:to>
    <xdr:sp macro="" textlink="">
      <xdr:nvSpPr>
        <xdr:cNvPr id="815" name="Text Box 8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5543550" y="114404775"/>
          <a:ext cx="2381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t</a:t>
          </a:r>
        </a:p>
      </xdr:txBody>
    </xdr:sp>
    <xdr:clientData/>
  </xdr:twoCellAnchor>
  <xdr:twoCellAnchor>
    <xdr:from>
      <xdr:col>2</xdr:col>
      <xdr:colOff>9525</xdr:colOff>
      <xdr:row>558</xdr:row>
      <xdr:rowOff>76200</xdr:rowOff>
    </xdr:from>
    <xdr:to>
      <xdr:col>4</xdr:col>
      <xdr:colOff>47625</xdr:colOff>
      <xdr:row>559</xdr:row>
      <xdr:rowOff>66675</xdr:rowOff>
    </xdr:to>
    <xdr:sp macro="" textlink="">
      <xdr:nvSpPr>
        <xdr:cNvPr id="816" name="Text Box 81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104900" y="114157125"/>
          <a:ext cx="14382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Deepest Possible Scour</a:t>
          </a:r>
        </a:p>
      </xdr:txBody>
    </xdr:sp>
    <xdr:clientData/>
  </xdr:twoCellAnchor>
  <xdr:twoCellAnchor>
    <xdr:from>
      <xdr:col>5</xdr:col>
      <xdr:colOff>200025</xdr:colOff>
      <xdr:row>555</xdr:row>
      <xdr:rowOff>161925</xdr:rowOff>
    </xdr:from>
    <xdr:to>
      <xdr:col>5</xdr:col>
      <xdr:colOff>504825</xdr:colOff>
      <xdr:row>556</xdr:row>
      <xdr:rowOff>133350</xdr:rowOff>
    </xdr:to>
    <xdr:sp macro="" textlink="">
      <xdr:nvSpPr>
        <xdr:cNvPr id="817" name="Text Box 81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400425" y="113642775"/>
          <a:ext cx="3048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1 :3</a:t>
          </a:r>
        </a:p>
      </xdr:txBody>
    </xdr:sp>
    <xdr:clientData/>
  </xdr:twoCellAnchor>
  <xdr:twoCellAnchor>
    <xdr:from>
      <xdr:col>2</xdr:col>
      <xdr:colOff>293687</xdr:colOff>
      <xdr:row>517</xdr:row>
      <xdr:rowOff>63498</xdr:rowOff>
    </xdr:from>
    <xdr:to>
      <xdr:col>2</xdr:col>
      <xdr:colOff>301625</xdr:colOff>
      <xdr:row>518</xdr:row>
      <xdr:rowOff>55562</xdr:rowOff>
    </xdr:to>
    <xdr:sp macro="" textlink="">
      <xdr:nvSpPr>
        <xdr:cNvPr id="818" name="Line 818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ShapeType="1"/>
        </xdr:cNvSpPr>
      </xdr:nvSpPr>
      <xdr:spPr bwMode="auto">
        <a:xfrm>
          <a:off x="1778000" y="113276061"/>
          <a:ext cx="7938" cy="19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238125</xdr:colOff>
      <xdr:row>517</xdr:row>
      <xdr:rowOff>66675</xdr:rowOff>
    </xdr:from>
    <xdr:to>
      <xdr:col>4</xdr:col>
      <xdr:colOff>247650</xdr:colOff>
      <xdr:row>518</xdr:row>
      <xdr:rowOff>57150</xdr:rowOff>
    </xdr:to>
    <xdr:sp macro="" textlink="">
      <xdr:nvSpPr>
        <xdr:cNvPr id="819" name="Line 819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ShapeType="1"/>
        </xdr:cNvSpPr>
      </xdr:nvSpPr>
      <xdr:spPr bwMode="auto">
        <a:xfrm>
          <a:off x="2733675" y="10567987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595959</xdr:colOff>
      <xdr:row>512</xdr:row>
      <xdr:rowOff>113386</xdr:rowOff>
    </xdr:from>
    <xdr:to>
      <xdr:col>7</xdr:col>
      <xdr:colOff>131103</xdr:colOff>
      <xdr:row>520</xdr:row>
      <xdr:rowOff>122334</xdr:rowOff>
    </xdr:to>
    <xdr:grpSp>
      <xdr:nvGrpSpPr>
        <xdr:cNvPr id="820" name="Group 820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GrpSpPr>
          <a:grpSpLocks/>
        </xdr:cNvGrpSpPr>
      </xdr:nvGrpSpPr>
      <xdr:grpSpPr bwMode="auto">
        <a:xfrm>
          <a:off x="1119834" y="113051311"/>
          <a:ext cx="4488144" cy="1609148"/>
          <a:chOff x="93" y="10995"/>
          <a:chExt cx="421" cy="169"/>
        </a:xfrm>
      </xdr:grpSpPr>
      <xdr:sp macro="" textlink="">
        <xdr:nvSpPr>
          <xdr:cNvPr id="822" name="Line 822">
            <a:extLst>
              <a:ext uri="{FF2B5EF4-FFF2-40B4-BE49-F238E27FC236}">
                <a16:creationId xmlns:a16="http://schemas.microsoft.com/office/drawing/2014/main" id="{00000000-0008-0000-0000-000036030000}"/>
              </a:ext>
            </a:extLst>
          </xdr:cNvPr>
          <xdr:cNvSpPr>
            <a:spLocks noChangeShapeType="1"/>
          </xdr:cNvSpPr>
        </xdr:nvSpPr>
        <xdr:spPr bwMode="auto">
          <a:xfrm>
            <a:off x="93" y="11084"/>
            <a:ext cx="421" cy="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" name="Line 823">
            <a:extLst>
              <a:ext uri="{FF2B5EF4-FFF2-40B4-BE49-F238E27FC236}">
                <a16:creationId xmlns:a16="http://schemas.microsoft.com/office/drawing/2014/main" id="{00000000-0008-0000-0000-000037030000}"/>
              </a:ext>
            </a:extLst>
          </xdr:cNvPr>
          <xdr:cNvSpPr>
            <a:spLocks noChangeShapeType="1"/>
          </xdr:cNvSpPr>
        </xdr:nvSpPr>
        <xdr:spPr bwMode="auto">
          <a:xfrm>
            <a:off x="356" y="11005"/>
            <a:ext cx="156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" name="Line 824">
            <a:extLst>
              <a:ext uri="{FF2B5EF4-FFF2-40B4-BE49-F238E27FC236}">
                <a16:creationId xmlns:a16="http://schemas.microsoft.com/office/drawing/2014/main" id="{00000000-0008-0000-0000-00003803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" y="11050"/>
            <a:ext cx="34" cy="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" name="Line 825">
            <a:extLst>
              <a:ext uri="{FF2B5EF4-FFF2-40B4-BE49-F238E27FC236}">
                <a16:creationId xmlns:a16="http://schemas.microsoft.com/office/drawing/2014/main" id="{00000000-0008-0000-0000-000039030000}"/>
              </a:ext>
            </a:extLst>
          </xdr:cNvPr>
          <xdr:cNvSpPr>
            <a:spLocks noChangeShapeType="1"/>
          </xdr:cNvSpPr>
        </xdr:nvSpPr>
        <xdr:spPr bwMode="auto">
          <a:xfrm>
            <a:off x="330" y="11050"/>
            <a:ext cx="4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" name="Line 826">
            <a:extLst>
              <a:ext uri="{FF2B5EF4-FFF2-40B4-BE49-F238E27FC236}">
                <a16:creationId xmlns:a16="http://schemas.microsoft.com/office/drawing/2014/main" id="{00000000-0008-0000-0000-00003A030000}"/>
              </a:ext>
            </a:extLst>
          </xdr:cNvPr>
          <xdr:cNvSpPr>
            <a:spLocks noChangeShapeType="1"/>
          </xdr:cNvSpPr>
        </xdr:nvSpPr>
        <xdr:spPr bwMode="auto">
          <a:xfrm>
            <a:off x="371" y="11050"/>
            <a:ext cx="52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7" name="Line 827">
            <a:extLst>
              <a:ext uri="{FF2B5EF4-FFF2-40B4-BE49-F238E27FC236}">
                <a16:creationId xmlns:a16="http://schemas.microsoft.com/office/drawing/2014/main" id="{00000000-0008-0000-0000-00003B030000}"/>
              </a:ext>
            </a:extLst>
          </xdr:cNvPr>
          <xdr:cNvSpPr>
            <a:spLocks noChangeShapeType="1"/>
          </xdr:cNvSpPr>
        </xdr:nvSpPr>
        <xdr:spPr bwMode="auto">
          <a:xfrm>
            <a:off x="114" y="11003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8" name="Line 828">
            <a:extLst>
              <a:ext uri="{FF2B5EF4-FFF2-40B4-BE49-F238E27FC236}">
                <a16:creationId xmlns:a16="http://schemas.microsoft.com/office/drawing/2014/main" id="{00000000-0008-0000-0000-00003C030000}"/>
              </a:ext>
            </a:extLst>
          </xdr:cNvPr>
          <xdr:cNvSpPr>
            <a:spLocks noChangeShapeType="1"/>
          </xdr:cNvSpPr>
        </xdr:nvSpPr>
        <xdr:spPr bwMode="auto">
          <a:xfrm>
            <a:off x="156" y="11003"/>
            <a:ext cx="198" cy="2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9" name="Line 829">
            <a:extLst>
              <a:ext uri="{FF2B5EF4-FFF2-40B4-BE49-F238E27FC236}">
                <a16:creationId xmlns:a16="http://schemas.microsoft.com/office/drawing/2014/main" id="{00000000-0008-0000-0000-00003D03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5" y="10995"/>
            <a:ext cx="16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0" name="Line 830">
            <a:extLst>
              <a:ext uri="{FF2B5EF4-FFF2-40B4-BE49-F238E27FC236}">
                <a16:creationId xmlns:a16="http://schemas.microsoft.com/office/drawing/2014/main" id="{00000000-0008-0000-0000-00003E030000}"/>
              </a:ext>
            </a:extLst>
          </xdr:cNvPr>
          <xdr:cNvSpPr>
            <a:spLocks noChangeShapeType="1"/>
          </xdr:cNvSpPr>
        </xdr:nvSpPr>
        <xdr:spPr bwMode="auto">
          <a:xfrm>
            <a:off x="314" y="10995"/>
            <a:ext cx="45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1" name="Line 831">
            <a:extLst>
              <a:ext uri="{FF2B5EF4-FFF2-40B4-BE49-F238E27FC236}">
                <a16:creationId xmlns:a16="http://schemas.microsoft.com/office/drawing/2014/main" id="{00000000-0008-0000-0000-00003F030000}"/>
              </a:ext>
            </a:extLst>
          </xdr:cNvPr>
          <xdr:cNvSpPr>
            <a:spLocks noChangeShapeType="1"/>
          </xdr:cNvSpPr>
        </xdr:nvSpPr>
        <xdr:spPr bwMode="auto">
          <a:xfrm>
            <a:off x="154" y="11003"/>
            <a:ext cx="0" cy="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2" name="Line 832">
            <a:extLst>
              <a:ext uri="{FF2B5EF4-FFF2-40B4-BE49-F238E27FC236}">
                <a16:creationId xmlns:a16="http://schemas.microsoft.com/office/drawing/2014/main" id="{00000000-0008-0000-0000-00004003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92" y="10995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3" name="Line 833">
            <a:extLst>
              <a:ext uri="{FF2B5EF4-FFF2-40B4-BE49-F238E27FC236}">
                <a16:creationId xmlns:a16="http://schemas.microsoft.com/office/drawing/2014/main" id="{00000000-0008-0000-0000-000041030000}"/>
              </a:ext>
            </a:extLst>
          </xdr:cNvPr>
          <xdr:cNvSpPr>
            <a:spLocks noChangeShapeType="1"/>
          </xdr:cNvSpPr>
        </xdr:nvSpPr>
        <xdr:spPr bwMode="auto">
          <a:xfrm>
            <a:off x="492" y="11006"/>
            <a:ext cx="0" cy="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4" name="Line 834">
            <a:extLst>
              <a:ext uri="{FF2B5EF4-FFF2-40B4-BE49-F238E27FC236}">
                <a16:creationId xmlns:a16="http://schemas.microsoft.com/office/drawing/2014/main" id="{00000000-0008-0000-0000-000042030000}"/>
              </a:ext>
            </a:extLst>
          </xdr:cNvPr>
          <xdr:cNvSpPr>
            <a:spLocks noChangeShapeType="1"/>
          </xdr:cNvSpPr>
        </xdr:nvSpPr>
        <xdr:spPr bwMode="auto">
          <a:xfrm>
            <a:off x="154" y="11101"/>
            <a:ext cx="13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stealth" w="sm" len="lg"/>
            <a:tailEnd type="stealth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835" name="Text Box 835">
            <a:extLst>
              <a:ext uri="{FF2B5EF4-FFF2-40B4-BE49-F238E27FC236}">
                <a16:creationId xmlns:a16="http://schemas.microsoft.com/office/drawing/2014/main" id="{00000000-0008-0000-0000-000043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7" y="11026"/>
            <a:ext cx="31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</a:t>
            </a:r>
            <a:r>
              <a:rPr lang="en-US" sz="1000" b="0" i="0" strike="noStrike" baseline="-25000">
                <a:solidFill>
                  <a:srgbClr val="000000"/>
                </a:solidFill>
                <a:latin typeface="Book Antiqua"/>
              </a:rPr>
              <a:t>1</a:t>
            </a:r>
            <a:r>
              <a:rPr lang="en-US" sz="1000" b="0" i="0">
                <a:effectLst/>
                <a:latin typeface="+mn-lt"/>
                <a:ea typeface="+mn-ea"/>
                <a:cs typeface="+mn-cs"/>
              </a:rPr>
              <a:t>=</a:t>
            </a:r>
            <a:endParaRPr lang="en-US" sz="1000" b="0" i="0" strike="noStrike" baseline="-25000">
              <a:solidFill>
                <a:srgbClr val="000000"/>
              </a:solidFill>
              <a:latin typeface="Book Antiqua"/>
            </a:endParaRPr>
          </a:p>
        </xdr:txBody>
      </xdr:sp>
      <xdr:sp macro="" textlink="">
        <xdr:nvSpPr>
          <xdr:cNvPr id="836" name="Text Box 836">
            <a:extLst>
              <a:ext uri="{FF2B5EF4-FFF2-40B4-BE49-F238E27FC236}">
                <a16:creationId xmlns:a16="http://schemas.microsoft.com/office/drawing/2014/main" id="{00000000-0008-0000-0000-000044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6" y="11026"/>
            <a:ext cx="30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</a:t>
            </a:r>
            <a:r>
              <a:rPr lang="en-US" sz="1000" b="0" i="0" strike="noStrike" baseline="-25000">
                <a:solidFill>
                  <a:srgbClr val="000000"/>
                </a:solidFill>
                <a:latin typeface="Book Antiqua"/>
              </a:rPr>
              <a:t>2</a:t>
            </a:r>
            <a:r>
              <a:rPr lang="en-US" sz="1000" b="0" i="0">
                <a:effectLst/>
                <a:latin typeface="+mn-lt"/>
                <a:ea typeface="+mn-ea"/>
                <a:cs typeface="+mn-cs"/>
              </a:rPr>
              <a:t>=</a:t>
            </a:r>
            <a:endParaRPr lang="en-US" sz="1000" b="0" i="0" strike="noStrike" baseline="-25000">
              <a:solidFill>
                <a:srgbClr val="000000"/>
              </a:solidFill>
              <a:latin typeface="Book Antiqua"/>
            </a:endParaRPr>
          </a:p>
        </xdr:txBody>
      </xdr:sp>
      <xdr:sp macro="" textlink="">
        <xdr:nvSpPr>
          <xdr:cNvPr id="837" name="Text Box 837">
            <a:extLst>
              <a:ext uri="{FF2B5EF4-FFF2-40B4-BE49-F238E27FC236}">
                <a16:creationId xmlns:a16="http://schemas.microsoft.com/office/drawing/2014/main" id="{00000000-0008-0000-0000-000045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7" y="11026"/>
            <a:ext cx="25" cy="2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D=</a:t>
            </a:r>
          </a:p>
        </xdr:txBody>
      </xdr:sp>
      <xdr:sp macro="" textlink="">
        <xdr:nvSpPr>
          <xdr:cNvPr id="838" name="Text Box 838">
            <a:extLst>
              <a:ext uri="{FF2B5EF4-FFF2-40B4-BE49-F238E27FC236}">
                <a16:creationId xmlns:a16="http://schemas.microsoft.com/office/drawing/2014/main" id="{00000000-0008-0000-0000-000046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" y="11109"/>
            <a:ext cx="18" cy="2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L=</a:t>
            </a:r>
          </a:p>
        </xdr:txBody>
      </xdr:sp>
      <xdr:sp macro="" textlink="">
        <xdr:nvSpPr>
          <xdr:cNvPr id="839" name="Text Box 839">
            <a:extLst>
              <a:ext uri="{FF2B5EF4-FFF2-40B4-BE49-F238E27FC236}">
                <a16:creationId xmlns:a16="http://schemas.microsoft.com/office/drawing/2014/main" id="{00000000-0008-0000-0000-000047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9" y="11141"/>
            <a:ext cx="200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Book Antiqua"/>
              </a:rPr>
              <a:t>Merrimen's Backwater Formula</a:t>
            </a:r>
          </a:p>
        </xdr:txBody>
      </xdr:sp>
      <xdr:sp macro="" textlink="">
        <xdr:nvSpPr>
          <xdr:cNvPr id="840" name="Line 840">
            <a:extLst>
              <a:ext uri="{FF2B5EF4-FFF2-40B4-BE49-F238E27FC236}">
                <a16:creationId xmlns:a16="http://schemas.microsoft.com/office/drawing/2014/main" id="{00000000-0008-0000-0000-000048030000}"/>
              </a:ext>
            </a:extLst>
          </xdr:cNvPr>
          <xdr:cNvSpPr>
            <a:spLocks noChangeShapeType="1"/>
          </xdr:cNvSpPr>
        </xdr:nvSpPr>
        <xdr:spPr bwMode="auto">
          <a:xfrm>
            <a:off x="193" y="11075"/>
            <a:ext cx="4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stealth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19050</xdr:colOff>
      <xdr:row>515</xdr:row>
      <xdr:rowOff>76200</xdr:rowOff>
    </xdr:from>
    <xdr:to>
      <xdr:col>3</xdr:col>
      <xdr:colOff>209550</xdr:colOff>
      <xdr:row>516</xdr:row>
      <xdr:rowOff>28575</xdr:rowOff>
    </xdr:to>
    <xdr:sp macro="" textlink="">
      <xdr:nvSpPr>
        <xdr:cNvPr id="841" name="Text Box 84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943100" y="105289350"/>
          <a:ext cx="1905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Book Antiqua"/>
            </a:rPr>
            <a:t>S</a:t>
          </a:r>
        </a:p>
      </xdr:txBody>
    </xdr:sp>
    <xdr:clientData/>
  </xdr:twoCellAnchor>
  <xdr:twoCellAnchor>
    <xdr:from>
      <xdr:col>1</xdr:col>
      <xdr:colOff>600075</xdr:colOff>
      <xdr:row>516</xdr:row>
      <xdr:rowOff>161925</xdr:rowOff>
    </xdr:from>
    <xdr:to>
      <xdr:col>1</xdr:col>
      <xdr:colOff>676275</xdr:colOff>
      <xdr:row>517</xdr:row>
      <xdr:rowOff>47625</xdr:rowOff>
    </xdr:to>
    <xdr:sp macro="" textlink="">
      <xdr:nvSpPr>
        <xdr:cNvPr id="842" name="Line 84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ShapeType="1"/>
        </xdr:cNvSpPr>
      </xdr:nvSpPr>
      <xdr:spPr bwMode="auto">
        <a:xfrm flipH="1">
          <a:off x="952500" y="10557510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704850</xdr:colOff>
      <xdr:row>516</xdr:row>
      <xdr:rowOff>161925</xdr:rowOff>
    </xdr:from>
    <xdr:to>
      <xdr:col>2</xdr:col>
      <xdr:colOff>38100</xdr:colOff>
      <xdr:row>517</xdr:row>
      <xdr:rowOff>47625</xdr:rowOff>
    </xdr:to>
    <xdr:sp macro="" textlink="">
      <xdr:nvSpPr>
        <xdr:cNvPr id="843" name="Line 84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ShapeType="1"/>
        </xdr:cNvSpPr>
      </xdr:nvSpPr>
      <xdr:spPr bwMode="auto">
        <a:xfrm flipH="1">
          <a:off x="1057275" y="10557510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516</xdr:row>
      <xdr:rowOff>161925</xdr:rowOff>
    </xdr:from>
    <xdr:to>
      <xdr:col>2</xdr:col>
      <xdr:colOff>133350</xdr:colOff>
      <xdr:row>517</xdr:row>
      <xdr:rowOff>47625</xdr:rowOff>
    </xdr:to>
    <xdr:sp macro="" textlink="">
      <xdr:nvSpPr>
        <xdr:cNvPr id="844" name="Line 84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ShapeType="1"/>
        </xdr:cNvSpPr>
      </xdr:nvSpPr>
      <xdr:spPr bwMode="auto">
        <a:xfrm flipH="1">
          <a:off x="1152525" y="10557510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516</xdr:row>
      <xdr:rowOff>171450</xdr:rowOff>
    </xdr:from>
    <xdr:to>
      <xdr:col>2</xdr:col>
      <xdr:colOff>238125</xdr:colOff>
      <xdr:row>517</xdr:row>
      <xdr:rowOff>57150</xdr:rowOff>
    </xdr:to>
    <xdr:sp macro="" textlink="">
      <xdr:nvSpPr>
        <xdr:cNvPr id="845" name="Line 84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ShapeType="1"/>
        </xdr:cNvSpPr>
      </xdr:nvSpPr>
      <xdr:spPr bwMode="auto">
        <a:xfrm flipH="1">
          <a:off x="1257300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516</xdr:row>
      <xdr:rowOff>171450</xdr:rowOff>
    </xdr:from>
    <xdr:to>
      <xdr:col>2</xdr:col>
      <xdr:colOff>342900</xdr:colOff>
      <xdr:row>517</xdr:row>
      <xdr:rowOff>57150</xdr:rowOff>
    </xdr:to>
    <xdr:sp macro="" textlink="">
      <xdr:nvSpPr>
        <xdr:cNvPr id="846" name="Line 84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ShapeType="1"/>
        </xdr:cNvSpPr>
      </xdr:nvSpPr>
      <xdr:spPr bwMode="auto">
        <a:xfrm flipH="1">
          <a:off x="1362075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516</xdr:row>
      <xdr:rowOff>171450</xdr:rowOff>
    </xdr:from>
    <xdr:to>
      <xdr:col>2</xdr:col>
      <xdr:colOff>457200</xdr:colOff>
      <xdr:row>517</xdr:row>
      <xdr:rowOff>57150</xdr:rowOff>
    </xdr:to>
    <xdr:sp macro="" textlink="">
      <xdr:nvSpPr>
        <xdr:cNvPr id="847" name="Line 847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ShapeType="1"/>
        </xdr:cNvSpPr>
      </xdr:nvSpPr>
      <xdr:spPr bwMode="auto">
        <a:xfrm flipH="1">
          <a:off x="1865313" y="113185575"/>
          <a:ext cx="76200" cy="8413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516</xdr:row>
      <xdr:rowOff>171450</xdr:rowOff>
    </xdr:from>
    <xdr:to>
      <xdr:col>2</xdr:col>
      <xdr:colOff>552450</xdr:colOff>
      <xdr:row>517</xdr:row>
      <xdr:rowOff>57150</xdr:rowOff>
    </xdr:to>
    <xdr:sp macro="" textlink="">
      <xdr:nvSpPr>
        <xdr:cNvPr id="848" name="Line 848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ShapeType="1"/>
        </xdr:cNvSpPr>
      </xdr:nvSpPr>
      <xdr:spPr bwMode="auto">
        <a:xfrm flipH="1">
          <a:off x="1571625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516</xdr:row>
      <xdr:rowOff>171450</xdr:rowOff>
    </xdr:from>
    <xdr:to>
      <xdr:col>2</xdr:col>
      <xdr:colOff>647700</xdr:colOff>
      <xdr:row>517</xdr:row>
      <xdr:rowOff>57150</xdr:rowOff>
    </xdr:to>
    <xdr:sp macro="" textlink="">
      <xdr:nvSpPr>
        <xdr:cNvPr id="849" name="Line 849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ShapeType="1"/>
        </xdr:cNvSpPr>
      </xdr:nvSpPr>
      <xdr:spPr bwMode="auto">
        <a:xfrm flipH="1">
          <a:off x="1666875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666750</xdr:colOff>
      <xdr:row>516</xdr:row>
      <xdr:rowOff>171450</xdr:rowOff>
    </xdr:from>
    <xdr:to>
      <xdr:col>2</xdr:col>
      <xdr:colOff>742950</xdr:colOff>
      <xdr:row>517</xdr:row>
      <xdr:rowOff>57150</xdr:rowOff>
    </xdr:to>
    <xdr:sp macro="" textlink="">
      <xdr:nvSpPr>
        <xdr:cNvPr id="850" name="Line 85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ShapeType="1"/>
        </xdr:cNvSpPr>
      </xdr:nvSpPr>
      <xdr:spPr bwMode="auto">
        <a:xfrm flipH="1">
          <a:off x="1762125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771525</xdr:colOff>
      <xdr:row>516</xdr:row>
      <xdr:rowOff>171450</xdr:rowOff>
    </xdr:from>
    <xdr:to>
      <xdr:col>3</xdr:col>
      <xdr:colOff>19050</xdr:colOff>
      <xdr:row>517</xdr:row>
      <xdr:rowOff>57150</xdr:rowOff>
    </xdr:to>
    <xdr:sp macro="" textlink="">
      <xdr:nvSpPr>
        <xdr:cNvPr id="851" name="Line 85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ShapeType="1"/>
        </xdr:cNvSpPr>
      </xdr:nvSpPr>
      <xdr:spPr bwMode="auto">
        <a:xfrm flipH="1">
          <a:off x="1866900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516</xdr:row>
      <xdr:rowOff>171450</xdr:rowOff>
    </xdr:from>
    <xdr:to>
      <xdr:col>3</xdr:col>
      <xdr:colOff>114300</xdr:colOff>
      <xdr:row>517</xdr:row>
      <xdr:rowOff>57150</xdr:rowOff>
    </xdr:to>
    <xdr:sp macro="" textlink="">
      <xdr:nvSpPr>
        <xdr:cNvPr id="852" name="Line 85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ShapeType="1"/>
        </xdr:cNvSpPr>
      </xdr:nvSpPr>
      <xdr:spPr bwMode="auto">
        <a:xfrm flipH="1">
          <a:off x="1962150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516</xdr:row>
      <xdr:rowOff>171450</xdr:rowOff>
    </xdr:from>
    <xdr:to>
      <xdr:col>3</xdr:col>
      <xdr:colOff>209550</xdr:colOff>
      <xdr:row>517</xdr:row>
      <xdr:rowOff>57150</xdr:rowOff>
    </xdr:to>
    <xdr:sp macro="" textlink="">
      <xdr:nvSpPr>
        <xdr:cNvPr id="853" name="Line 85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ShapeType="1"/>
        </xdr:cNvSpPr>
      </xdr:nvSpPr>
      <xdr:spPr bwMode="auto">
        <a:xfrm flipH="1">
          <a:off x="2057400" y="10558462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516</xdr:row>
      <xdr:rowOff>180975</xdr:rowOff>
    </xdr:from>
    <xdr:to>
      <xdr:col>3</xdr:col>
      <xdr:colOff>295275</xdr:colOff>
      <xdr:row>517</xdr:row>
      <xdr:rowOff>66675</xdr:rowOff>
    </xdr:to>
    <xdr:sp macro="" textlink="">
      <xdr:nvSpPr>
        <xdr:cNvPr id="854" name="Line 85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ShapeType="1"/>
        </xdr:cNvSpPr>
      </xdr:nvSpPr>
      <xdr:spPr bwMode="auto">
        <a:xfrm flipH="1">
          <a:off x="214312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516</xdr:row>
      <xdr:rowOff>180975</xdr:rowOff>
    </xdr:from>
    <xdr:to>
      <xdr:col>3</xdr:col>
      <xdr:colOff>390525</xdr:colOff>
      <xdr:row>517</xdr:row>
      <xdr:rowOff>66675</xdr:rowOff>
    </xdr:to>
    <xdr:sp macro="" textlink="">
      <xdr:nvSpPr>
        <xdr:cNvPr id="855" name="Line 85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ShapeType="1"/>
        </xdr:cNvSpPr>
      </xdr:nvSpPr>
      <xdr:spPr bwMode="auto">
        <a:xfrm flipH="1">
          <a:off x="223837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419100</xdr:colOff>
      <xdr:row>516</xdr:row>
      <xdr:rowOff>180975</xdr:rowOff>
    </xdr:from>
    <xdr:to>
      <xdr:col>3</xdr:col>
      <xdr:colOff>495300</xdr:colOff>
      <xdr:row>517</xdr:row>
      <xdr:rowOff>66675</xdr:rowOff>
    </xdr:to>
    <xdr:sp macro="" textlink="">
      <xdr:nvSpPr>
        <xdr:cNvPr id="856" name="Line 85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ShapeType="1"/>
        </xdr:cNvSpPr>
      </xdr:nvSpPr>
      <xdr:spPr bwMode="auto">
        <a:xfrm flipH="1">
          <a:off x="234315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514350</xdr:colOff>
      <xdr:row>516</xdr:row>
      <xdr:rowOff>180975</xdr:rowOff>
    </xdr:from>
    <xdr:to>
      <xdr:col>3</xdr:col>
      <xdr:colOff>590550</xdr:colOff>
      <xdr:row>517</xdr:row>
      <xdr:rowOff>66675</xdr:rowOff>
    </xdr:to>
    <xdr:sp macro="" textlink="">
      <xdr:nvSpPr>
        <xdr:cNvPr id="857" name="Line 857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ShapeType="1"/>
        </xdr:cNvSpPr>
      </xdr:nvSpPr>
      <xdr:spPr bwMode="auto">
        <a:xfrm flipH="1">
          <a:off x="2438400" y="105594150"/>
          <a:ext cx="571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516</xdr:row>
      <xdr:rowOff>180975</xdr:rowOff>
    </xdr:from>
    <xdr:to>
      <xdr:col>4</xdr:col>
      <xdr:colOff>76200</xdr:colOff>
      <xdr:row>517</xdr:row>
      <xdr:rowOff>66675</xdr:rowOff>
    </xdr:to>
    <xdr:sp macro="" textlink="">
      <xdr:nvSpPr>
        <xdr:cNvPr id="858" name="Line 858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ShapeType="1"/>
        </xdr:cNvSpPr>
      </xdr:nvSpPr>
      <xdr:spPr bwMode="auto">
        <a:xfrm flipH="1">
          <a:off x="249555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516</xdr:row>
      <xdr:rowOff>180975</xdr:rowOff>
    </xdr:from>
    <xdr:to>
      <xdr:col>4</xdr:col>
      <xdr:colOff>180975</xdr:colOff>
      <xdr:row>517</xdr:row>
      <xdr:rowOff>66675</xdr:rowOff>
    </xdr:to>
    <xdr:sp macro="" textlink="">
      <xdr:nvSpPr>
        <xdr:cNvPr id="859" name="Line 859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ShapeType="1"/>
        </xdr:cNvSpPr>
      </xdr:nvSpPr>
      <xdr:spPr bwMode="auto">
        <a:xfrm flipH="1">
          <a:off x="260032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209550</xdr:colOff>
      <xdr:row>516</xdr:row>
      <xdr:rowOff>180975</xdr:rowOff>
    </xdr:from>
    <xdr:to>
      <xdr:col>4</xdr:col>
      <xdr:colOff>285750</xdr:colOff>
      <xdr:row>517</xdr:row>
      <xdr:rowOff>66675</xdr:rowOff>
    </xdr:to>
    <xdr:sp macro="" textlink="">
      <xdr:nvSpPr>
        <xdr:cNvPr id="860" name="Line 860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ShapeType="1"/>
        </xdr:cNvSpPr>
      </xdr:nvSpPr>
      <xdr:spPr bwMode="auto">
        <a:xfrm flipH="1">
          <a:off x="270510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516</xdr:row>
      <xdr:rowOff>180975</xdr:rowOff>
    </xdr:from>
    <xdr:to>
      <xdr:col>4</xdr:col>
      <xdr:colOff>381000</xdr:colOff>
      <xdr:row>517</xdr:row>
      <xdr:rowOff>66675</xdr:rowOff>
    </xdr:to>
    <xdr:sp macro="" textlink="">
      <xdr:nvSpPr>
        <xdr:cNvPr id="861" name="Line 86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ShapeType="1"/>
        </xdr:cNvSpPr>
      </xdr:nvSpPr>
      <xdr:spPr bwMode="auto">
        <a:xfrm flipH="1">
          <a:off x="280035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409575</xdr:colOff>
      <xdr:row>516</xdr:row>
      <xdr:rowOff>180975</xdr:rowOff>
    </xdr:from>
    <xdr:to>
      <xdr:col>4</xdr:col>
      <xdr:colOff>485775</xdr:colOff>
      <xdr:row>517</xdr:row>
      <xdr:rowOff>66675</xdr:rowOff>
    </xdr:to>
    <xdr:sp macro="" textlink="">
      <xdr:nvSpPr>
        <xdr:cNvPr id="862" name="Line 86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ShapeType="1"/>
        </xdr:cNvSpPr>
      </xdr:nvSpPr>
      <xdr:spPr bwMode="auto">
        <a:xfrm flipH="1">
          <a:off x="290512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516</xdr:row>
      <xdr:rowOff>180975</xdr:rowOff>
    </xdr:from>
    <xdr:to>
      <xdr:col>4</xdr:col>
      <xdr:colOff>600075</xdr:colOff>
      <xdr:row>517</xdr:row>
      <xdr:rowOff>66675</xdr:rowOff>
    </xdr:to>
    <xdr:sp macro="" textlink="">
      <xdr:nvSpPr>
        <xdr:cNvPr id="863" name="Line 86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ShapeType="1"/>
        </xdr:cNvSpPr>
      </xdr:nvSpPr>
      <xdr:spPr bwMode="auto">
        <a:xfrm flipH="1">
          <a:off x="301942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628650</xdr:colOff>
      <xdr:row>516</xdr:row>
      <xdr:rowOff>180975</xdr:rowOff>
    </xdr:from>
    <xdr:to>
      <xdr:col>5</xdr:col>
      <xdr:colOff>0</xdr:colOff>
      <xdr:row>517</xdr:row>
      <xdr:rowOff>66675</xdr:rowOff>
    </xdr:to>
    <xdr:sp macro="" textlink="">
      <xdr:nvSpPr>
        <xdr:cNvPr id="864" name="Line 86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ShapeType="1"/>
        </xdr:cNvSpPr>
      </xdr:nvSpPr>
      <xdr:spPr bwMode="auto">
        <a:xfrm flipH="1">
          <a:off x="312420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516</xdr:row>
      <xdr:rowOff>180975</xdr:rowOff>
    </xdr:from>
    <xdr:to>
      <xdr:col>5</xdr:col>
      <xdr:colOff>104775</xdr:colOff>
      <xdr:row>517</xdr:row>
      <xdr:rowOff>66675</xdr:rowOff>
    </xdr:to>
    <xdr:sp macro="" textlink="">
      <xdr:nvSpPr>
        <xdr:cNvPr id="865" name="Line 86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ShapeType="1"/>
        </xdr:cNvSpPr>
      </xdr:nvSpPr>
      <xdr:spPr bwMode="auto">
        <a:xfrm flipH="1">
          <a:off x="322897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133350</xdr:colOff>
      <xdr:row>516</xdr:row>
      <xdr:rowOff>180975</xdr:rowOff>
    </xdr:from>
    <xdr:to>
      <xdr:col>5</xdr:col>
      <xdr:colOff>209550</xdr:colOff>
      <xdr:row>517</xdr:row>
      <xdr:rowOff>66675</xdr:rowOff>
    </xdr:to>
    <xdr:sp macro="" textlink="">
      <xdr:nvSpPr>
        <xdr:cNvPr id="866" name="Line 866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ShapeType="1"/>
        </xdr:cNvSpPr>
      </xdr:nvSpPr>
      <xdr:spPr bwMode="auto">
        <a:xfrm flipH="1">
          <a:off x="333375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516</xdr:row>
      <xdr:rowOff>180975</xdr:rowOff>
    </xdr:from>
    <xdr:to>
      <xdr:col>5</xdr:col>
      <xdr:colOff>314325</xdr:colOff>
      <xdr:row>517</xdr:row>
      <xdr:rowOff>66675</xdr:rowOff>
    </xdr:to>
    <xdr:sp macro="" textlink="">
      <xdr:nvSpPr>
        <xdr:cNvPr id="867" name="Line 867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ShapeType="1"/>
        </xdr:cNvSpPr>
      </xdr:nvSpPr>
      <xdr:spPr bwMode="auto">
        <a:xfrm flipH="1">
          <a:off x="343852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516</xdr:row>
      <xdr:rowOff>190500</xdr:rowOff>
    </xdr:from>
    <xdr:to>
      <xdr:col>5</xdr:col>
      <xdr:colOff>419100</xdr:colOff>
      <xdr:row>517</xdr:row>
      <xdr:rowOff>76200</xdr:rowOff>
    </xdr:to>
    <xdr:sp macro="" textlink="">
      <xdr:nvSpPr>
        <xdr:cNvPr id="868" name="Line 868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ShapeType="1"/>
        </xdr:cNvSpPr>
      </xdr:nvSpPr>
      <xdr:spPr bwMode="auto">
        <a:xfrm flipH="1">
          <a:off x="354330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516</xdr:row>
      <xdr:rowOff>190500</xdr:rowOff>
    </xdr:from>
    <xdr:to>
      <xdr:col>5</xdr:col>
      <xdr:colOff>533400</xdr:colOff>
      <xdr:row>517</xdr:row>
      <xdr:rowOff>76200</xdr:rowOff>
    </xdr:to>
    <xdr:sp macro="" textlink="">
      <xdr:nvSpPr>
        <xdr:cNvPr id="869" name="Line 869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ShapeType="1"/>
        </xdr:cNvSpPr>
      </xdr:nvSpPr>
      <xdr:spPr bwMode="auto">
        <a:xfrm flipH="1">
          <a:off x="365760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561975</xdr:colOff>
      <xdr:row>516</xdr:row>
      <xdr:rowOff>190500</xdr:rowOff>
    </xdr:from>
    <xdr:to>
      <xdr:col>5</xdr:col>
      <xdr:colOff>638175</xdr:colOff>
      <xdr:row>517</xdr:row>
      <xdr:rowOff>76200</xdr:rowOff>
    </xdr:to>
    <xdr:sp macro="" textlink="">
      <xdr:nvSpPr>
        <xdr:cNvPr id="870" name="Line 87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ShapeType="1"/>
        </xdr:cNvSpPr>
      </xdr:nvSpPr>
      <xdr:spPr bwMode="auto">
        <a:xfrm flipH="1">
          <a:off x="3762375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666750</xdr:colOff>
      <xdr:row>516</xdr:row>
      <xdr:rowOff>190500</xdr:rowOff>
    </xdr:from>
    <xdr:to>
      <xdr:col>6</xdr:col>
      <xdr:colOff>38100</xdr:colOff>
      <xdr:row>517</xdr:row>
      <xdr:rowOff>76200</xdr:rowOff>
    </xdr:to>
    <xdr:sp macro="" textlink="">
      <xdr:nvSpPr>
        <xdr:cNvPr id="871" name="Line 87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ShapeType="1"/>
        </xdr:cNvSpPr>
      </xdr:nvSpPr>
      <xdr:spPr bwMode="auto">
        <a:xfrm flipH="1">
          <a:off x="386715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516</xdr:row>
      <xdr:rowOff>190500</xdr:rowOff>
    </xdr:from>
    <xdr:to>
      <xdr:col>6</xdr:col>
      <xdr:colOff>142875</xdr:colOff>
      <xdr:row>517</xdr:row>
      <xdr:rowOff>76200</xdr:rowOff>
    </xdr:to>
    <xdr:sp macro="" textlink="">
      <xdr:nvSpPr>
        <xdr:cNvPr id="872" name="Line 87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ShapeType="1"/>
        </xdr:cNvSpPr>
      </xdr:nvSpPr>
      <xdr:spPr bwMode="auto">
        <a:xfrm flipH="1">
          <a:off x="3971925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516</xdr:row>
      <xdr:rowOff>190500</xdr:rowOff>
    </xdr:from>
    <xdr:to>
      <xdr:col>6</xdr:col>
      <xdr:colOff>247650</xdr:colOff>
      <xdr:row>517</xdr:row>
      <xdr:rowOff>76200</xdr:rowOff>
    </xdr:to>
    <xdr:sp macro="" textlink="">
      <xdr:nvSpPr>
        <xdr:cNvPr id="873" name="Line 87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ShapeType="1"/>
        </xdr:cNvSpPr>
      </xdr:nvSpPr>
      <xdr:spPr bwMode="auto">
        <a:xfrm flipH="1">
          <a:off x="407670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516</xdr:row>
      <xdr:rowOff>190500</xdr:rowOff>
    </xdr:from>
    <xdr:to>
      <xdr:col>6</xdr:col>
      <xdr:colOff>361950</xdr:colOff>
      <xdr:row>517</xdr:row>
      <xdr:rowOff>76200</xdr:rowOff>
    </xdr:to>
    <xdr:sp macro="" textlink="">
      <xdr:nvSpPr>
        <xdr:cNvPr id="874" name="Line 874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ShapeType="1"/>
        </xdr:cNvSpPr>
      </xdr:nvSpPr>
      <xdr:spPr bwMode="auto">
        <a:xfrm flipH="1">
          <a:off x="419100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400050</xdr:colOff>
      <xdr:row>516</xdr:row>
      <xdr:rowOff>190500</xdr:rowOff>
    </xdr:from>
    <xdr:to>
      <xdr:col>6</xdr:col>
      <xdr:colOff>476250</xdr:colOff>
      <xdr:row>517</xdr:row>
      <xdr:rowOff>76200</xdr:rowOff>
    </xdr:to>
    <xdr:sp macro="" textlink="">
      <xdr:nvSpPr>
        <xdr:cNvPr id="875" name="Line 87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ShapeType="1"/>
        </xdr:cNvSpPr>
      </xdr:nvSpPr>
      <xdr:spPr bwMode="auto">
        <a:xfrm flipH="1">
          <a:off x="430530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516</xdr:row>
      <xdr:rowOff>180975</xdr:rowOff>
    </xdr:from>
    <xdr:to>
      <xdr:col>6</xdr:col>
      <xdr:colOff>590550</xdr:colOff>
      <xdr:row>517</xdr:row>
      <xdr:rowOff>66675</xdr:rowOff>
    </xdr:to>
    <xdr:sp macro="" textlink="">
      <xdr:nvSpPr>
        <xdr:cNvPr id="876" name="Line 876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ShapeType="1"/>
        </xdr:cNvSpPr>
      </xdr:nvSpPr>
      <xdr:spPr bwMode="auto">
        <a:xfrm flipH="1">
          <a:off x="4419600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516</xdr:row>
      <xdr:rowOff>180975</xdr:rowOff>
    </xdr:from>
    <xdr:to>
      <xdr:col>6</xdr:col>
      <xdr:colOff>695325</xdr:colOff>
      <xdr:row>517</xdr:row>
      <xdr:rowOff>66675</xdr:rowOff>
    </xdr:to>
    <xdr:sp macro="" textlink="">
      <xdr:nvSpPr>
        <xdr:cNvPr id="877" name="Line 877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ShapeType="1"/>
        </xdr:cNvSpPr>
      </xdr:nvSpPr>
      <xdr:spPr bwMode="auto">
        <a:xfrm flipH="1">
          <a:off x="4524375" y="105594150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723900</xdr:colOff>
      <xdr:row>516</xdr:row>
      <xdr:rowOff>190500</xdr:rowOff>
    </xdr:from>
    <xdr:to>
      <xdr:col>7</xdr:col>
      <xdr:colOff>28575</xdr:colOff>
      <xdr:row>517</xdr:row>
      <xdr:rowOff>76200</xdr:rowOff>
    </xdr:to>
    <xdr:sp macro="" textlink="">
      <xdr:nvSpPr>
        <xdr:cNvPr id="878" name="Line 878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ShapeType="1"/>
        </xdr:cNvSpPr>
      </xdr:nvSpPr>
      <xdr:spPr bwMode="auto">
        <a:xfrm flipH="1">
          <a:off x="462915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516</xdr:row>
      <xdr:rowOff>190500</xdr:rowOff>
    </xdr:from>
    <xdr:to>
      <xdr:col>7</xdr:col>
      <xdr:colOff>142875</xdr:colOff>
      <xdr:row>517</xdr:row>
      <xdr:rowOff>76200</xdr:rowOff>
    </xdr:to>
    <xdr:sp macro="" textlink="">
      <xdr:nvSpPr>
        <xdr:cNvPr id="879" name="Line 879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ShapeType="1"/>
        </xdr:cNvSpPr>
      </xdr:nvSpPr>
      <xdr:spPr bwMode="auto">
        <a:xfrm flipH="1">
          <a:off x="4743450" y="105603675"/>
          <a:ext cx="762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609600</xdr:colOff>
      <xdr:row>515</xdr:row>
      <xdr:rowOff>114300</xdr:rowOff>
    </xdr:from>
    <xdr:to>
      <xdr:col>4</xdr:col>
      <xdr:colOff>628650</xdr:colOff>
      <xdr:row>515</xdr:row>
      <xdr:rowOff>133350</xdr:rowOff>
    </xdr:to>
    <xdr:sp macro="" textlink="">
      <xdr:nvSpPr>
        <xdr:cNvPr id="880" name="Oval 88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3105150" y="105327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515</xdr:row>
      <xdr:rowOff>95250</xdr:rowOff>
    </xdr:from>
    <xdr:to>
      <xdr:col>5</xdr:col>
      <xdr:colOff>76200</xdr:colOff>
      <xdr:row>515</xdr:row>
      <xdr:rowOff>114300</xdr:rowOff>
    </xdr:to>
    <xdr:sp macro="" textlink="">
      <xdr:nvSpPr>
        <xdr:cNvPr id="881" name="Oval 88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3257550" y="105308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515</xdr:row>
      <xdr:rowOff>95250</xdr:rowOff>
    </xdr:from>
    <xdr:to>
      <xdr:col>5</xdr:col>
      <xdr:colOff>228600</xdr:colOff>
      <xdr:row>515</xdr:row>
      <xdr:rowOff>114300</xdr:rowOff>
    </xdr:to>
    <xdr:sp macro="" textlink="">
      <xdr:nvSpPr>
        <xdr:cNvPr id="882" name="Oval 88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3409950" y="1053084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361950</xdr:colOff>
      <xdr:row>515</xdr:row>
      <xdr:rowOff>161925</xdr:rowOff>
    </xdr:from>
    <xdr:to>
      <xdr:col>5</xdr:col>
      <xdr:colOff>381000</xdr:colOff>
      <xdr:row>515</xdr:row>
      <xdr:rowOff>180975</xdr:rowOff>
    </xdr:to>
    <xdr:sp macro="" textlink="">
      <xdr:nvSpPr>
        <xdr:cNvPr id="883" name="Oval 88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3562350" y="1053750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485775</xdr:colOff>
      <xdr:row>516</xdr:row>
      <xdr:rowOff>47625</xdr:rowOff>
    </xdr:from>
    <xdr:to>
      <xdr:col>5</xdr:col>
      <xdr:colOff>504825</xdr:colOff>
      <xdr:row>516</xdr:row>
      <xdr:rowOff>66675</xdr:rowOff>
    </xdr:to>
    <xdr:sp macro="" textlink="">
      <xdr:nvSpPr>
        <xdr:cNvPr id="884" name="Oval 884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105460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609600</xdr:colOff>
      <xdr:row>516</xdr:row>
      <xdr:rowOff>123825</xdr:rowOff>
    </xdr:from>
    <xdr:to>
      <xdr:col>5</xdr:col>
      <xdr:colOff>628650</xdr:colOff>
      <xdr:row>516</xdr:row>
      <xdr:rowOff>142875</xdr:rowOff>
    </xdr:to>
    <xdr:sp macro="" textlink="">
      <xdr:nvSpPr>
        <xdr:cNvPr id="885" name="Oval 88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05537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571500</xdr:colOff>
      <xdr:row>516</xdr:row>
      <xdr:rowOff>28575</xdr:rowOff>
    </xdr:from>
    <xdr:to>
      <xdr:col>4</xdr:col>
      <xdr:colOff>590550</xdr:colOff>
      <xdr:row>516</xdr:row>
      <xdr:rowOff>47625</xdr:rowOff>
    </xdr:to>
    <xdr:sp macro="" textlink="">
      <xdr:nvSpPr>
        <xdr:cNvPr id="886" name="Oval 88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3067050" y="105441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516</xdr:row>
      <xdr:rowOff>28575</xdr:rowOff>
    </xdr:from>
    <xdr:to>
      <xdr:col>5</xdr:col>
      <xdr:colOff>38100</xdr:colOff>
      <xdr:row>516</xdr:row>
      <xdr:rowOff>47625</xdr:rowOff>
    </xdr:to>
    <xdr:sp macro="" textlink="">
      <xdr:nvSpPr>
        <xdr:cNvPr id="887" name="Oval 887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3219450" y="105441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516</xdr:row>
      <xdr:rowOff>9525</xdr:rowOff>
    </xdr:from>
    <xdr:to>
      <xdr:col>5</xdr:col>
      <xdr:colOff>190500</xdr:colOff>
      <xdr:row>516</xdr:row>
      <xdr:rowOff>28575</xdr:rowOff>
    </xdr:to>
    <xdr:sp macro="" textlink="">
      <xdr:nvSpPr>
        <xdr:cNvPr id="888" name="Oval 888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105422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516</xdr:row>
      <xdr:rowOff>104775</xdr:rowOff>
    </xdr:from>
    <xdr:to>
      <xdr:col>5</xdr:col>
      <xdr:colOff>342900</xdr:colOff>
      <xdr:row>516</xdr:row>
      <xdr:rowOff>123825</xdr:rowOff>
    </xdr:to>
    <xdr:sp macro="" textlink="">
      <xdr:nvSpPr>
        <xdr:cNvPr id="889" name="Oval 889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105517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152400</xdr:colOff>
      <xdr:row>516</xdr:row>
      <xdr:rowOff>114300</xdr:rowOff>
    </xdr:from>
    <xdr:to>
      <xdr:col>5</xdr:col>
      <xdr:colOff>171450</xdr:colOff>
      <xdr:row>516</xdr:row>
      <xdr:rowOff>133350</xdr:rowOff>
    </xdr:to>
    <xdr:sp macro="" textlink="">
      <xdr:nvSpPr>
        <xdr:cNvPr id="890" name="Oval 89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3352800" y="105527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285750</xdr:colOff>
      <xdr:row>516</xdr:row>
      <xdr:rowOff>9525</xdr:rowOff>
    </xdr:from>
    <xdr:to>
      <xdr:col>5</xdr:col>
      <xdr:colOff>304800</xdr:colOff>
      <xdr:row>516</xdr:row>
      <xdr:rowOff>28575</xdr:rowOff>
    </xdr:to>
    <xdr:sp macro="" textlink="">
      <xdr:nvSpPr>
        <xdr:cNvPr id="891" name="Oval 89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3486150" y="105422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628650</xdr:colOff>
      <xdr:row>516</xdr:row>
      <xdr:rowOff>104775</xdr:rowOff>
    </xdr:from>
    <xdr:to>
      <xdr:col>4</xdr:col>
      <xdr:colOff>647700</xdr:colOff>
      <xdr:row>516</xdr:row>
      <xdr:rowOff>123825</xdr:rowOff>
    </xdr:to>
    <xdr:sp macro="" textlink="">
      <xdr:nvSpPr>
        <xdr:cNvPr id="892" name="Oval 89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3124200" y="105517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516</xdr:row>
      <xdr:rowOff>114300</xdr:rowOff>
    </xdr:from>
    <xdr:to>
      <xdr:col>4</xdr:col>
      <xdr:colOff>485775</xdr:colOff>
      <xdr:row>516</xdr:row>
      <xdr:rowOff>133350</xdr:rowOff>
    </xdr:to>
    <xdr:sp macro="" textlink="">
      <xdr:nvSpPr>
        <xdr:cNvPr id="893" name="Oval 89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105527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515</xdr:row>
      <xdr:rowOff>114300</xdr:rowOff>
    </xdr:from>
    <xdr:to>
      <xdr:col>5</xdr:col>
      <xdr:colOff>28575</xdr:colOff>
      <xdr:row>515</xdr:row>
      <xdr:rowOff>152400</xdr:rowOff>
    </xdr:to>
    <xdr:sp macro="" textlink="">
      <xdr:nvSpPr>
        <xdr:cNvPr id="894" name="AutoShape 89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3181350" y="10532745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95250</xdr:colOff>
      <xdr:row>515</xdr:row>
      <xdr:rowOff>152400</xdr:rowOff>
    </xdr:from>
    <xdr:to>
      <xdr:col>5</xdr:col>
      <xdr:colOff>142875</xdr:colOff>
      <xdr:row>515</xdr:row>
      <xdr:rowOff>190500</xdr:rowOff>
    </xdr:to>
    <xdr:sp macro="" textlink="">
      <xdr:nvSpPr>
        <xdr:cNvPr id="895" name="AutoShape 89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3295650" y="10536555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515</xdr:row>
      <xdr:rowOff>152400</xdr:rowOff>
    </xdr:from>
    <xdr:to>
      <xdr:col>5</xdr:col>
      <xdr:colOff>257175</xdr:colOff>
      <xdr:row>515</xdr:row>
      <xdr:rowOff>190500</xdr:rowOff>
    </xdr:to>
    <xdr:sp macro="" textlink="">
      <xdr:nvSpPr>
        <xdr:cNvPr id="896" name="AutoShape 89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3409950" y="10536555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516</xdr:row>
      <xdr:rowOff>38100</xdr:rowOff>
    </xdr:from>
    <xdr:to>
      <xdr:col>5</xdr:col>
      <xdr:colOff>409575</xdr:colOff>
      <xdr:row>516</xdr:row>
      <xdr:rowOff>76200</xdr:rowOff>
    </xdr:to>
    <xdr:sp macro="" textlink="">
      <xdr:nvSpPr>
        <xdr:cNvPr id="897" name="AutoShape 897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3562350" y="105451275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219075</xdr:colOff>
      <xdr:row>516</xdr:row>
      <xdr:rowOff>66675</xdr:rowOff>
    </xdr:from>
    <xdr:to>
      <xdr:col>5</xdr:col>
      <xdr:colOff>266700</xdr:colOff>
      <xdr:row>516</xdr:row>
      <xdr:rowOff>104775</xdr:rowOff>
    </xdr:to>
    <xdr:sp macro="" textlink="">
      <xdr:nvSpPr>
        <xdr:cNvPr id="898" name="AutoShape 89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3419475" y="10547985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476250</xdr:colOff>
      <xdr:row>516</xdr:row>
      <xdr:rowOff>114300</xdr:rowOff>
    </xdr:from>
    <xdr:to>
      <xdr:col>5</xdr:col>
      <xdr:colOff>523875</xdr:colOff>
      <xdr:row>516</xdr:row>
      <xdr:rowOff>152400</xdr:rowOff>
    </xdr:to>
    <xdr:sp macro="" textlink="">
      <xdr:nvSpPr>
        <xdr:cNvPr id="899" name="AutoShape 899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3676650" y="105527475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516</xdr:row>
      <xdr:rowOff>47625</xdr:rowOff>
    </xdr:from>
    <xdr:to>
      <xdr:col>5</xdr:col>
      <xdr:colOff>133350</xdr:colOff>
      <xdr:row>516</xdr:row>
      <xdr:rowOff>85725</xdr:rowOff>
    </xdr:to>
    <xdr:sp macro="" textlink="">
      <xdr:nvSpPr>
        <xdr:cNvPr id="900" name="AutoShape 900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3286125" y="10546080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695325</xdr:colOff>
      <xdr:row>516</xdr:row>
      <xdr:rowOff>95250</xdr:rowOff>
    </xdr:from>
    <xdr:to>
      <xdr:col>5</xdr:col>
      <xdr:colOff>38100</xdr:colOff>
      <xdr:row>516</xdr:row>
      <xdr:rowOff>133350</xdr:rowOff>
    </xdr:to>
    <xdr:sp macro="" textlink="">
      <xdr:nvSpPr>
        <xdr:cNvPr id="901" name="AutoShape 90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105508425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619125</xdr:colOff>
      <xdr:row>515</xdr:row>
      <xdr:rowOff>190500</xdr:rowOff>
    </xdr:from>
    <xdr:to>
      <xdr:col>4</xdr:col>
      <xdr:colOff>666750</xdr:colOff>
      <xdr:row>516</xdr:row>
      <xdr:rowOff>28575</xdr:rowOff>
    </xdr:to>
    <xdr:sp macro="" textlink="">
      <xdr:nvSpPr>
        <xdr:cNvPr id="902" name="AutoShape 90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3114675" y="10540365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533400</xdr:colOff>
      <xdr:row>516</xdr:row>
      <xdr:rowOff>85725</xdr:rowOff>
    </xdr:from>
    <xdr:to>
      <xdr:col>4</xdr:col>
      <xdr:colOff>581025</xdr:colOff>
      <xdr:row>516</xdr:row>
      <xdr:rowOff>123825</xdr:rowOff>
    </xdr:to>
    <xdr:sp macro="" textlink="">
      <xdr:nvSpPr>
        <xdr:cNvPr id="903" name="AutoShape 90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3028950" y="10549890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533400</xdr:colOff>
      <xdr:row>515</xdr:row>
      <xdr:rowOff>133350</xdr:rowOff>
    </xdr:from>
    <xdr:to>
      <xdr:col>4</xdr:col>
      <xdr:colOff>581025</xdr:colOff>
      <xdr:row>515</xdr:row>
      <xdr:rowOff>171450</xdr:rowOff>
    </xdr:to>
    <xdr:sp macro="" textlink="">
      <xdr:nvSpPr>
        <xdr:cNvPr id="904" name="AutoShape 90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3028950" y="105346500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516</xdr:row>
      <xdr:rowOff>19050</xdr:rowOff>
    </xdr:from>
    <xdr:to>
      <xdr:col>4</xdr:col>
      <xdr:colOff>504825</xdr:colOff>
      <xdr:row>516</xdr:row>
      <xdr:rowOff>57150</xdr:rowOff>
    </xdr:to>
    <xdr:sp macro="" textlink="">
      <xdr:nvSpPr>
        <xdr:cNvPr id="905" name="AutoShape 90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105432225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381000</xdr:colOff>
      <xdr:row>516</xdr:row>
      <xdr:rowOff>95250</xdr:rowOff>
    </xdr:from>
    <xdr:to>
      <xdr:col>4</xdr:col>
      <xdr:colOff>428625</xdr:colOff>
      <xdr:row>516</xdr:row>
      <xdr:rowOff>133350</xdr:rowOff>
    </xdr:to>
    <xdr:sp macro="" textlink="">
      <xdr:nvSpPr>
        <xdr:cNvPr id="906" name="AutoShape 906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2876550" y="105508425"/>
          <a:ext cx="47625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361950</xdr:colOff>
      <xdr:row>642</xdr:row>
      <xdr:rowOff>28575</xdr:rowOff>
    </xdr:from>
    <xdr:to>
      <xdr:col>3</xdr:col>
      <xdr:colOff>28575</xdr:colOff>
      <xdr:row>642</xdr:row>
      <xdr:rowOff>28575</xdr:rowOff>
    </xdr:to>
    <xdr:sp macro="" textlink="">
      <xdr:nvSpPr>
        <xdr:cNvPr id="907" name="Line 91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ShapeType="1"/>
        </xdr:cNvSpPr>
      </xdr:nvSpPr>
      <xdr:spPr bwMode="auto">
        <a:xfrm>
          <a:off x="714375" y="1313878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640</xdr:row>
      <xdr:rowOff>180975</xdr:rowOff>
    </xdr:from>
    <xdr:to>
      <xdr:col>4</xdr:col>
      <xdr:colOff>123825</xdr:colOff>
      <xdr:row>642</xdr:row>
      <xdr:rowOff>28575</xdr:rowOff>
    </xdr:to>
    <xdr:sp macro="" textlink="">
      <xdr:nvSpPr>
        <xdr:cNvPr id="908" name="Line 91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ShapeType="1"/>
        </xdr:cNvSpPr>
      </xdr:nvSpPr>
      <xdr:spPr bwMode="auto">
        <a:xfrm flipV="1">
          <a:off x="1943100" y="131140200"/>
          <a:ext cx="6762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640</xdr:row>
      <xdr:rowOff>180975</xdr:rowOff>
    </xdr:from>
    <xdr:to>
      <xdr:col>4</xdr:col>
      <xdr:colOff>619125</xdr:colOff>
      <xdr:row>640</xdr:row>
      <xdr:rowOff>180975</xdr:rowOff>
    </xdr:to>
    <xdr:sp macro="" textlink="">
      <xdr:nvSpPr>
        <xdr:cNvPr id="909" name="Line 91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ShapeType="1"/>
        </xdr:cNvSpPr>
      </xdr:nvSpPr>
      <xdr:spPr bwMode="auto">
        <a:xfrm>
          <a:off x="2609850" y="13114020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637</xdr:row>
      <xdr:rowOff>0</xdr:rowOff>
    </xdr:from>
    <xdr:to>
      <xdr:col>9</xdr:col>
      <xdr:colOff>9525</xdr:colOff>
      <xdr:row>649</xdr:row>
      <xdr:rowOff>190500</xdr:rowOff>
    </xdr:to>
    <xdr:sp macro="" textlink="">
      <xdr:nvSpPr>
        <xdr:cNvPr id="910" name="Rectangle 91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342900" y="130359150"/>
          <a:ext cx="5629275" cy="2590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609600</xdr:colOff>
      <xdr:row>640</xdr:row>
      <xdr:rowOff>180975</xdr:rowOff>
    </xdr:from>
    <xdr:to>
      <xdr:col>6</xdr:col>
      <xdr:colOff>257175</xdr:colOff>
      <xdr:row>644</xdr:row>
      <xdr:rowOff>9525</xdr:rowOff>
    </xdr:to>
    <xdr:sp macro="" textlink="">
      <xdr:nvSpPr>
        <xdr:cNvPr id="911" name="Line 92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ShapeType="1"/>
        </xdr:cNvSpPr>
      </xdr:nvSpPr>
      <xdr:spPr bwMode="auto">
        <a:xfrm>
          <a:off x="3105150" y="131140200"/>
          <a:ext cx="10572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644</xdr:row>
      <xdr:rowOff>0</xdr:rowOff>
    </xdr:from>
    <xdr:to>
      <xdr:col>8</xdr:col>
      <xdr:colOff>533400</xdr:colOff>
      <xdr:row>644</xdr:row>
      <xdr:rowOff>0</xdr:rowOff>
    </xdr:to>
    <xdr:sp macro="" textlink="">
      <xdr:nvSpPr>
        <xdr:cNvPr id="912" name="Line 92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ShapeType="1"/>
        </xdr:cNvSpPr>
      </xdr:nvSpPr>
      <xdr:spPr bwMode="auto">
        <a:xfrm>
          <a:off x="4152900" y="131759325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276225</xdr:colOff>
      <xdr:row>637</xdr:row>
      <xdr:rowOff>123825</xdr:rowOff>
    </xdr:from>
    <xdr:to>
      <xdr:col>4</xdr:col>
      <xdr:colOff>419100</xdr:colOff>
      <xdr:row>640</xdr:row>
      <xdr:rowOff>180975</xdr:rowOff>
    </xdr:to>
    <xdr:sp macro="" textlink="">
      <xdr:nvSpPr>
        <xdr:cNvPr id="913" name="Freeform 9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/>
        </xdr:cNvSpPr>
      </xdr:nvSpPr>
      <xdr:spPr bwMode="auto">
        <a:xfrm>
          <a:off x="2771775" y="130482975"/>
          <a:ext cx="142875" cy="657225"/>
        </a:xfrm>
        <a:custGeom>
          <a:avLst/>
          <a:gdLst>
            <a:gd name="T0" fmla="*/ 2147483647 w 15"/>
            <a:gd name="T1" fmla="*/ 2147483647 h 69"/>
            <a:gd name="T2" fmla="*/ 2147483647 w 15"/>
            <a:gd name="T3" fmla="*/ 2147483647 h 69"/>
            <a:gd name="T4" fmla="*/ 0 w 15"/>
            <a:gd name="T5" fmla="*/ 2147483647 h 69"/>
            <a:gd name="T6" fmla="*/ 2147483647 w 15"/>
            <a:gd name="T7" fmla="*/ 2147483647 h 69"/>
            <a:gd name="T8" fmla="*/ 2147483647 w 15"/>
            <a:gd name="T9" fmla="*/ 0 h 6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5"/>
            <a:gd name="T16" fmla="*/ 0 h 69"/>
            <a:gd name="T17" fmla="*/ 15 w 15"/>
            <a:gd name="T18" fmla="*/ 69 h 6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5" h="69">
              <a:moveTo>
                <a:pt x="6" y="69"/>
              </a:moveTo>
              <a:cubicBezTo>
                <a:pt x="4" y="65"/>
                <a:pt x="3" y="61"/>
                <a:pt x="2" y="56"/>
              </a:cubicBezTo>
              <a:cubicBezTo>
                <a:pt x="1" y="51"/>
                <a:pt x="0" y="46"/>
                <a:pt x="0" y="39"/>
              </a:cubicBezTo>
              <a:cubicBezTo>
                <a:pt x="0" y="32"/>
                <a:pt x="3" y="21"/>
                <a:pt x="5" y="15"/>
              </a:cubicBezTo>
              <a:cubicBezTo>
                <a:pt x="7" y="9"/>
                <a:pt x="13" y="2"/>
                <a:pt x="15" y="0"/>
              </a:cubicBezTo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352425</xdr:colOff>
      <xdr:row>638</xdr:row>
      <xdr:rowOff>85725</xdr:rowOff>
    </xdr:from>
    <xdr:to>
      <xdr:col>4</xdr:col>
      <xdr:colOff>314325</xdr:colOff>
      <xdr:row>638</xdr:row>
      <xdr:rowOff>85725</xdr:rowOff>
    </xdr:to>
    <xdr:sp macro="" textlink="">
      <xdr:nvSpPr>
        <xdr:cNvPr id="914" name="Line 92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ShapeType="1"/>
        </xdr:cNvSpPr>
      </xdr:nvSpPr>
      <xdr:spPr bwMode="auto">
        <a:xfrm>
          <a:off x="704850" y="13064490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637</xdr:row>
      <xdr:rowOff>152400</xdr:rowOff>
    </xdr:from>
    <xdr:to>
      <xdr:col>2</xdr:col>
      <xdr:colOff>180975</xdr:colOff>
      <xdr:row>638</xdr:row>
      <xdr:rowOff>85725</xdr:rowOff>
    </xdr:to>
    <xdr:sp macro="" textlink="">
      <xdr:nvSpPr>
        <xdr:cNvPr id="915" name="AutoShape 92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 rot="10800000">
          <a:off x="1038225" y="130511550"/>
          <a:ext cx="23812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638</xdr:row>
      <xdr:rowOff>114300</xdr:rowOff>
    </xdr:from>
    <xdr:to>
      <xdr:col>2</xdr:col>
      <xdr:colOff>295275</xdr:colOff>
      <xdr:row>638</xdr:row>
      <xdr:rowOff>114300</xdr:rowOff>
    </xdr:to>
    <xdr:sp macro="" textlink="">
      <xdr:nvSpPr>
        <xdr:cNvPr id="916" name="Line 92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ShapeType="1"/>
        </xdr:cNvSpPr>
      </xdr:nvSpPr>
      <xdr:spPr bwMode="auto">
        <a:xfrm>
          <a:off x="914400" y="130673475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647700</xdr:colOff>
      <xdr:row>638</xdr:row>
      <xdr:rowOff>142875</xdr:rowOff>
    </xdr:from>
    <xdr:to>
      <xdr:col>2</xdr:col>
      <xdr:colOff>200025</xdr:colOff>
      <xdr:row>638</xdr:row>
      <xdr:rowOff>142875</xdr:rowOff>
    </xdr:to>
    <xdr:sp macro="" textlink="">
      <xdr:nvSpPr>
        <xdr:cNvPr id="917" name="Line 92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ShapeType="1"/>
        </xdr:cNvSpPr>
      </xdr:nvSpPr>
      <xdr:spPr bwMode="auto">
        <a:xfrm>
          <a:off x="1000125" y="1307020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714375</xdr:colOff>
      <xdr:row>638</xdr:row>
      <xdr:rowOff>171450</xdr:rowOff>
    </xdr:from>
    <xdr:to>
      <xdr:col>2</xdr:col>
      <xdr:colOff>133350</xdr:colOff>
      <xdr:row>638</xdr:row>
      <xdr:rowOff>171450</xdr:rowOff>
    </xdr:to>
    <xdr:sp macro="" textlink="">
      <xdr:nvSpPr>
        <xdr:cNvPr id="918" name="Line 92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ShapeType="1"/>
        </xdr:cNvSpPr>
      </xdr:nvSpPr>
      <xdr:spPr bwMode="auto">
        <a:xfrm>
          <a:off x="1066800" y="1307306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642</xdr:row>
      <xdr:rowOff>19050</xdr:rowOff>
    </xdr:from>
    <xdr:to>
      <xdr:col>3</xdr:col>
      <xdr:colOff>19050</xdr:colOff>
      <xdr:row>645</xdr:row>
      <xdr:rowOff>0</xdr:rowOff>
    </xdr:to>
    <xdr:sp macro="" textlink="">
      <xdr:nvSpPr>
        <xdr:cNvPr id="919" name="Line 92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ShapeType="1"/>
        </xdr:cNvSpPr>
      </xdr:nvSpPr>
      <xdr:spPr bwMode="auto">
        <a:xfrm>
          <a:off x="1943100" y="131378325"/>
          <a:ext cx="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644</xdr:row>
      <xdr:rowOff>9525</xdr:rowOff>
    </xdr:from>
    <xdr:to>
      <xdr:col>6</xdr:col>
      <xdr:colOff>257175</xdr:colOff>
      <xdr:row>647</xdr:row>
      <xdr:rowOff>9525</xdr:rowOff>
    </xdr:to>
    <xdr:sp macro="" textlink="">
      <xdr:nvSpPr>
        <xdr:cNvPr id="920" name="Line 92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ShapeType="1"/>
        </xdr:cNvSpPr>
      </xdr:nvSpPr>
      <xdr:spPr bwMode="auto">
        <a:xfrm>
          <a:off x="4162425" y="131768850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644</xdr:row>
      <xdr:rowOff>0</xdr:rowOff>
    </xdr:from>
    <xdr:to>
      <xdr:col>8</xdr:col>
      <xdr:colOff>304800</xdr:colOff>
      <xdr:row>648</xdr:row>
      <xdr:rowOff>0</xdr:rowOff>
    </xdr:to>
    <xdr:sp macro="" textlink="">
      <xdr:nvSpPr>
        <xdr:cNvPr id="921" name="Line 93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ShapeType="1"/>
        </xdr:cNvSpPr>
      </xdr:nvSpPr>
      <xdr:spPr bwMode="auto">
        <a:xfrm>
          <a:off x="5629275" y="131759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646</xdr:row>
      <xdr:rowOff>38100</xdr:rowOff>
    </xdr:from>
    <xdr:to>
      <xdr:col>8</xdr:col>
      <xdr:colOff>304800</xdr:colOff>
      <xdr:row>646</xdr:row>
      <xdr:rowOff>38100</xdr:rowOff>
    </xdr:to>
    <xdr:sp macro="" textlink="">
      <xdr:nvSpPr>
        <xdr:cNvPr id="922" name="Line 93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ShapeType="1"/>
        </xdr:cNvSpPr>
      </xdr:nvSpPr>
      <xdr:spPr bwMode="auto">
        <a:xfrm>
          <a:off x="4181475" y="13219747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647</xdr:row>
      <xdr:rowOff>114300</xdr:rowOff>
    </xdr:from>
    <xdr:to>
      <xdr:col>4</xdr:col>
      <xdr:colOff>133350</xdr:colOff>
      <xdr:row>648</xdr:row>
      <xdr:rowOff>133350</xdr:rowOff>
    </xdr:to>
    <xdr:sp macro="" textlink="">
      <xdr:nvSpPr>
        <xdr:cNvPr id="923" name="Line 93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ShapeType="1"/>
        </xdr:cNvSpPr>
      </xdr:nvSpPr>
      <xdr:spPr bwMode="auto">
        <a:xfrm>
          <a:off x="2628900" y="1324737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647</xdr:row>
      <xdr:rowOff>114300</xdr:rowOff>
    </xdr:from>
    <xdr:to>
      <xdr:col>4</xdr:col>
      <xdr:colOff>590550</xdr:colOff>
      <xdr:row>648</xdr:row>
      <xdr:rowOff>123825</xdr:rowOff>
    </xdr:to>
    <xdr:sp macro="" textlink="">
      <xdr:nvSpPr>
        <xdr:cNvPr id="924" name="Line 93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ShapeType="1"/>
        </xdr:cNvSpPr>
      </xdr:nvSpPr>
      <xdr:spPr bwMode="auto">
        <a:xfrm>
          <a:off x="3086100" y="132473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819150</xdr:colOff>
      <xdr:row>647</xdr:row>
      <xdr:rowOff>47625</xdr:rowOff>
    </xdr:from>
    <xdr:to>
      <xdr:col>2</xdr:col>
      <xdr:colOff>819150</xdr:colOff>
      <xdr:row>648</xdr:row>
      <xdr:rowOff>95250</xdr:rowOff>
    </xdr:to>
    <xdr:sp macro="" textlink="">
      <xdr:nvSpPr>
        <xdr:cNvPr id="925" name="Line 93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ShapeType="1"/>
        </xdr:cNvSpPr>
      </xdr:nvSpPr>
      <xdr:spPr bwMode="auto">
        <a:xfrm>
          <a:off x="1914525" y="13240702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648</xdr:row>
      <xdr:rowOff>0</xdr:rowOff>
    </xdr:from>
    <xdr:to>
      <xdr:col>4</xdr:col>
      <xdr:colOff>133350</xdr:colOff>
      <xdr:row>648</xdr:row>
      <xdr:rowOff>0</xdr:rowOff>
    </xdr:to>
    <xdr:sp macro="" textlink="">
      <xdr:nvSpPr>
        <xdr:cNvPr id="926" name="Line 93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ShapeType="1"/>
        </xdr:cNvSpPr>
      </xdr:nvSpPr>
      <xdr:spPr bwMode="auto">
        <a:xfrm>
          <a:off x="1933575" y="13255942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647</xdr:row>
      <xdr:rowOff>180975</xdr:rowOff>
    </xdr:from>
    <xdr:to>
      <xdr:col>6</xdr:col>
      <xdr:colOff>266700</xdr:colOff>
      <xdr:row>648</xdr:row>
      <xdr:rowOff>57150</xdr:rowOff>
    </xdr:to>
    <xdr:sp macro="" textlink="">
      <xdr:nvSpPr>
        <xdr:cNvPr id="927" name="Line 93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ShapeType="1"/>
        </xdr:cNvSpPr>
      </xdr:nvSpPr>
      <xdr:spPr bwMode="auto">
        <a:xfrm>
          <a:off x="4171950" y="13254037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648</xdr:row>
      <xdr:rowOff>9525</xdr:rowOff>
    </xdr:from>
    <xdr:to>
      <xdr:col>4</xdr:col>
      <xdr:colOff>590550</xdr:colOff>
      <xdr:row>648</xdr:row>
      <xdr:rowOff>9525</xdr:rowOff>
    </xdr:to>
    <xdr:sp macro="" textlink="">
      <xdr:nvSpPr>
        <xdr:cNvPr id="928" name="Line 93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ShapeType="1"/>
        </xdr:cNvSpPr>
      </xdr:nvSpPr>
      <xdr:spPr bwMode="auto">
        <a:xfrm>
          <a:off x="2628900" y="1325689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med"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648</xdr:row>
      <xdr:rowOff>0</xdr:rowOff>
    </xdr:from>
    <xdr:to>
      <xdr:col>6</xdr:col>
      <xdr:colOff>266700</xdr:colOff>
      <xdr:row>648</xdr:row>
      <xdr:rowOff>0</xdr:rowOff>
    </xdr:to>
    <xdr:sp macro="" textlink="">
      <xdr:nvSpPr>
        <xdr:cNvPr id="929" name="Line 93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ShapeType="1"/>
        </xdr:cNvSpPr>
      </xdr:nvSpPr>
      <xdr:spPr bwMode="auto">
        <a:xfrm>
          <a:off x="3086100" y="1325594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med"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647</xdr:row>
      <xdr:rowOff>85725</xdr:rowOff>
    </xdr:from>
    <xdr:to>
      <xdr:col>1</xdr:col>
      <xdr:colOff>371475</xdr:colOff>
      <xdr:row>648</xdr:row>
      <xdr:rowOff>66675</xdr:rowOff>
    </xdr:to>
    <xdr:sp macro="" textlink="">
      <xdr:nvSpPr>
        <xdr:cNvPr id="930" name="Line 93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ShapeType="1"/>
        </xdr:cNvSpPr>
      </xdr:nvSpPr>
      <xdr:spPr bwMode="auto">
        <a:xfrm>
          <a:off x="723900" y="1324451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648</xdr:row>
      <xdr:rowOff>9525</xdr:rowOff>
    </xdr:from>
    <xdr:to>
      <xdr:col>2</xdr:col>
      <xdr:colOff>819150</xdr:colOff>
      <xdr:row>648</xdr:row>
      <xdr:rowOff>9525</xdr:rowOff>
    </xdr:to>
    <xdr:sp macro="" textlink="">
      <xdr:nvSpPr>
        <xdr:cNvPr id="931" name="Line 94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ShapeType="1"/>
        </xdr:cNvSpPr>
      </xdr:nvSpPr>
      <xdr:spPr bwMode="auto">
        <a:xfrm>
          <a:off x="723900" y="132568950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sm" len="med"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352425</xdr:colOff>
      <xdr:row>642</xdr:row>
      <xdr:rowOff>28575</xdr:rowOff>
    </xdr:from>
    <xdr:to>
      <xdr:col>1</xdr:col>
      <xdr:colOff>400050</xdr:colOff>
      <xdr:row>642</xdr:row>
      <xdr:rowOff>95250</xdr:rowOff>
    </xdr:to>
    <xdr:sp macro="" textlink="">
      <xdr:nvSpPr>
        <xdr:cNvPr id="932" name="Line 94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ShapeType="1"/>
        </xdr:cNvSpPr>
      </xdr:nvSpPr>
      <xdr:spPr bwMode="auto">
        <a:xfrm flipH="1">
          <a:off x="704850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438150</xdr:colOff>
      <xdr:row>642</xdr:row>
      <xdr:rowOff>38100</xdr:rowOff>
    </xdr:from>
    <xdr:to>
      <xdr:col>1</xdr:col>
      <xdr:colOff>485775</xdr:colOff>
      <xdr:row>642</xdr:row>
      <xdr:rowOff>104775</xdr:rowOff>
    </xdr:to>
    <xdr:sp macro="" textlink="">
      <xdr:nvSpPr>
        <xdr:cNvPr id="933" name="Line 94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ShapeType="1"/>
        </xdr:cNvSpPr>
      </xdr:nvSpPr>
      <xdr:spPr bwMode="auto">
        <a:xfrm flipH="1">
          <a:off x="790575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523875</xdr:colOff>
      <xdr:row>642</xdr:row>
      <xdr:rowOff>38100</xdr:rowOff>
    </xdr:from>
    <xdr:to>
      <xdr:col>1</xdr:col>
      <xdr:colOff>571500</xdr:colOff>
      <xdr:row>642</xdr:row>
      <xdr:rowOff>104775</xdr:rowOff>
    </xdr:to>
    <xdr:sp macro="" textlink="">
      <xdr:nvSpPr>
        <xdr:cNvPr id="934" name="Line 94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ShapeType="1"/>
        </xdr:cNvSpPr>
      </xdr:nvSpPr>
      <xdr:spPr bwMode="auto">
        <a:xfrm flipH="1">
          <a:off x="876300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642</xdr:row>
      <xdr:rowOff>38100</xdr:rowOff>
    </xdr:from>
    <xdr:to>
      <xdr:col>1</xdr:col>
      <xdr:colOff>647700</xdr:colOff>
      <xdr:row>642</xdr:row>
      <xdr:rowOff>104775</xdr:rowOff>
    </xdr:to>
    <xdr:sp macro="" textlink="">
      <xdr:nvSpPr>
        <xdr:cNvPr id="935" name="Line 94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ShapeType="1"/>
        </xdr:cNvSpPr>
      </xdr:nvSpPr>
      <xdr:spPr bwMode="auto">
        <a:xfrm flipH="1">
          <a:off x="952500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642</xdr:row>
      <xdr:rowOff>28575</xdr:rowOff>
    </xdr:from>
    <xdr:to>
      <xdr:col>1</xdr:col>
      <xdr:colOff>733425</xdr:colOff>
      <xdr:row>642</xdr:row>
      <xdr:rowOff>95250</xdr:rowOff>
    </xdr:to>
    <xdr:sp macro="" textlink="">
      <xdr:nvSpPr>
        <xdr:cNvPr id="936" name="Line 94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ShapeType="1"/>
        </xdr:cNvSpPr>
      </xdr:nvSpPr>
      <xdr:spPr bwMode="auto">
        <a:xfrm flipH="1">
          <a:off x="1038225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642</xdr:row>
      <xdr:rowOff>38100</xdr:rowOff>
    </xdr:from>
    <xdr:to>
      <xdr:col>2</xdr:col>
      <xdr:colOff>66675</xdr:colOff>
      <xdr:row>642</xdr:row>
      <xdr:rowOff>104775</xdr:rowOff>
    </xdr:to>
    <xdr:sp macro="" textlink="">
      <xdr:nvSpPr>
        <xdr:cNvPr id="937" name="Line 94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ShapeType="1"/>
        </xdr:cNvSpPr>
      </xdr:nvSpPr>
      <xdr:spPr bwMode="auto">
        <a:xfrm flipH="1">
          <a:off x="1114425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642</xdr:row>
      <xdr:rowOff>28575</xdr:rowOff>
    </xdr:from>
    <xdr:to>
      <xdr:col>2</xdr:col>
      <xdr:colOff>171450</xdr:colOff>
      <xdr:row>642</xdr:row>
      <xdr:rowOff>95250</xdr:rowOff>
    </xdr:to>
    <xdr:sp macro="" textlink="">
      <xdr:nvSpPr>
        <xdr:cNvPr id="938" name="Line 95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ShapeType="1"/>
        </xdr:cNvSpPr>
      </xdr:nvSpPr>
      <xdr:spPr bwMode="auto">
        <a:xfrm flipH="1">
          <a:off x="1219200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642</xdr:row>
      <xdr:rowOff>28575</xdr:rowOff>
    </xdr:from>
    <xdr:to>
      <xdr:col>2</xdr:col>
      <xdr:colOff>266700</xdr:colOff>
      <xdr:row>642</xdr:row>
      <xdr:rowOff>95250</xdr:rowOff>
    </xdr:to>
    <xdr:sp macro="" textlink="">
      <xdr:nvSpPr>
        <xdr:cNvPr id="939" name="Line 95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ShapeType="1"/>
        </xdr:cNvSpPr>
      </xdr:nvSpPr>
      <xdr:spPr bwMode="auto">
        <a:xfrm flipH="1">
          <a:off x="1314450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642</xdr:row>
      <xdr:rowOff>28575</xdr:rowOff>
    </xdr:from>
    <xdr:to>
      <xdr:col>2</xdr:col>
      <xdr:colOff>371475</xdr:colOff>
      <xdr:row>642</xdr:row>
      <xdr:rowOff>95250</xdr:rowOff>
    </xdr:to>
    <xdr:sp macro="" textlink="">
      <xdr:nvSpPr>
        <xdr:cNvPr id="940" name="Line 95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ShapeType="1"/>
        </xdr:cNvSpPr>
      </xdr:nvSpPr>
      <xdr:spPr bwMode="auto">
        <a:xfrm flipH="1">
          <a:off x="1419225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642</xdr:row>
      <xdr:rowOff>38100</xdr:rowOff>
    </xdr:from>
    <xdr:to>
      <xdr:col>2</xdr:col>
      <xdr:colOff>466725</xdr:colOff>
      <xdr:row>642</xdr:row>
      <xdr:rowOff>104775</xdr:rowOff>
    </xdr:to>
    <xdr:sp macro="" textlink="">
      <xdr:nvSpPr>
        <xdr:cNvPr id="941" name="Line 95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ShapeType="1"/>
        </xdr:cNvSpPr>
      </xdr:nvSpPr>
      <xdr:spPr bwMode="auto">
        <a:xfrm flipH="1">
          <a:off x="1514475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642</xdr:row>
      <xdr:rowOff>38100</xdr:rowOff>
    </xdr:from>
    <xdr:to>
      <xdr:col>2</xdr:col>
      <xdr:colOff>561975</xdr:colOff>
      <xdr:row>642</xdr:row>
      <xdr:rowOff>104775</xdr:rowOff>
    </xdr:to>
    <xdr:sp macro="" textlink="">
      <xdr:nvSpPr>
        <xdr:cNvPr id="942" name="Line 95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ShapeType="1"/>
        </xdr:cNvSpPr>
      </xdr:nvSpPr>
      <xdr:spPr bwMode="auto">
        <a:xfrm flipH="1">
          <a:off x="1609725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642</xdr:row>
      <xdr:rowOff>28575</xdr:rowOff>
    </xdr:from>
    <xdr:to>
      <xdr:col>2</xdr:col>
      <xdr:colOff>657225</xdr:colOff>
      <xdr:row>642</xdr:row>
      <xdr:rowOff>95250</xdr:rowOff>
    </xdr:to>
    <xdr:sp macro="" textlink="">
      <xdr:nvSpPr>
        <xdr:cNvPr id="943" name="Line 95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ShapeType="1"/>
        </xdr:cNvSpPr>
      </xdr:nvSpPr>
      <xdr:spPr bwMode="auto">
        <a:xfrm flipH="1">
          <a:off x="1704975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695325</xdr:colOff>
      <xdr:row>642</xdr:row>
      <xdr:rowOff>38100</xdr:rowOff>
    </xdr:from>
    <xdr:to>
      <xdr:col>2</xdr:col>
      <xdr:colOff>742950</xdr:colOff>
      <xdr:row>642</xdr:row>
      <xdr:rowOff>104775</xdr:rowOff>
    </xdr:to>
    <xdr:sp macro="" textlink="">
      <xdr:nvSpPr>
        <xdr:cNvPr id="944" name="Line 95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ShapeType="1"/>
        </xdr:cNvSpPr>
      </xdr:nvSpPr>
      <xdr:spPr bwMode="auto">
        <a:xfrm flipH="1">
          <a:off x="1790700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781050</xdr:colOff>
      <xdr:row>642</xdr:row>
      <xdr:rowOff>28575</xdr:rowOff>
    </xdr:from>
    <xdr:to>
      <xdr:col>3</xdr:col>
      <xdr:colOff>0</xdr:colOff>
      <xdr:row>642</xdr:row>
      <xdr:rowOff>95250</xdr:rowOff>
    </xdr:to>
    <xdr:sp macro="" textlink="">
      <xdr:nvSpPr>
        <xdr:cNvPr id="945" name="Line 95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ShapeType="1"/>
        </xdr:cNvSpPr>
      </xdr:nvSpPr>
      <xdr:spPr bwMode="auto">
        <a:xfrm flipH="1">
          <a:off x="1876425" y="131387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644</xdr:row>
      <xdr:rowOff>9525</xdr:rowOff>
    </xdr:from>
    <xdr:to>
      <xdr:col>6</xdr:col>
      <xdr:colOff>342900</xdr:colOff>
      <xdr:row>644</xdr:row>
      <xdr:rowOff>76200</xdr:rowOff>
    </xdr:to>
    <xdr:sp macro="" textlink="">
      <xdr:nvSpPr>
        <xdr:cNvPr id="946" name="Line 95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ShapeType="1"/>
        </xdr:cNvSpPr>
      </xdr:nvSpPr>
      <xdr:spPr bwMode="auto">
        <a:xfrm flipH="1">
          <a:off x="420052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644</xdr:row>
      <xdr:rowOff>9525</xdr:rowOff>
    </xdr:from>
    <xdr:to>
      <xdr:col>6</xdr:col>
      <xdr:colOff>428625</xdr:colOff>
      <xdr:row>644</xdr:row>
      <xdr:rowOff>76200</xdr:rowOff>
    </xdr:to>
    <xdr:sp macro="" textlink="">
      <xdr:nvSpPr>
        <xdr:cNvPr id="947" name="Line 95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ShapeType="1"/>
        </xdr:cNvSpPr>
      </xdr:nvSpPr>
      <xdr:spPr bwMode="auto">
        <a:xfrm flipH="1">
          <a:off x="428625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644</xdr:row>
      <xdr:rowOff>9525</xdr:rowOff>
    </xdr:from>
    <xdr:to>
      <xdr:col>6</xdr:col>
      <xdr:colOff>523875</xdr:colOff>
      <xdr:row>644</xdr:row>
      <xdr:rowOff>76200</xdr:rowOff>
    </xdr:to>
    <xdr:sp macro="" textlink="">
      <xdr:nvSpPr>
        <xdr:cNvPr id="948" name="Line 96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ShapeType="1"/>
        </xdr:cNvSpPr>
      </xdr:nvSpPr>
      <xdr:spPr bwMode="auto">
        <a:xfrm flipH="1">
          <a:off x="43815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581025</xdr:colOff>
      <xdr:row>644</xdr:row>
      <xdr:rowOff>9525</xdr:rowOff>
    </xdr:from>
    <xdr:to>
      <xdr:col>6</xdr:col>
      <xdr:colOff>628650</xdr:colOff>
      <xdr:row>644</xdr:row>
      <xdr:rowOff>76200</xdr:rowOff>
    </xdr:to>
    <xdr:sp macro="" textlink="">
      <xdr:nvSpPr>
        <xdr:cNvPr id="949" name="Line 96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ShapeType="1"/>
        </xdr:cNvSpPr>
      </xdr:nvSpPr>
      <xdr:spPr bwMode="auto">
        <a:xfrm flipH="1">
          <a:off x="448627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676275</xdr:colOff>
      <xdr:row>644</xdr:row>
      <xdr:rowOff>9525</xdr:rowOff>
    </xdr:from>
    <xdr:to>
      <xdr:col>6</xdr:col>
      <xdr:colOff>723900</xdr:colOff>
      <xdr:row>644</xdr:row>
      <xdr:rowOff>76200</xdr:rowOff>
    </xdr:to>
    <xdr:sp macro="" textlink="">
      <xdr:nvSpPr>
        <xdr:cNvPr id="950" name="Line 96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ShapeType="1"/>
        </xdr:cNvSpPr>
      </xdr:nvSpPr>
      <xdr:spPr bwMode="auto">
        <a:xfrm flipH="1">
          <a:off x="458152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644</xdr:row>
      <xdr:rowOff>9525</xdr:rowOff>
    </xdr:from>
    <xdr:to>
      <xdr:col>7</xdr:col>
      <xdr:colOff>47625</xdr:colOff>
      <xdr:row>644</xdr:row>
      <xdr:rowOff>76200</xdr:rowOff>
    </xdr:to>
    <xdr:sp macro="" textlink="">
      <xdr:nvSpPr>
        <xdr:cNvPr id="951" name="Line 96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ShapeType="1"/>
        </xdr:cNvSpPr>
      </xdr:nvSpPr>
      <xdr:spPr bwMode="auto">
        <a:xfrm flipH="1">
          <a:off x="467677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644</xdr:row>
      <xdr:rowOff>0</xdr:rowOff>
    </xdr:from>
    <xdr:to>
      <xdr:col>7</xdr:col>
      <xdr:colOff>152400</xdr:colOff>
      <xdr:row>644</xdr:row>
      <xdr:rowOff>66675</xdr:rowOff>
    </xdr:to>
    <xdr:sp macro="" textlink="">
      <xdr:nvSpPr>
        <xdr:cNvPr id="952" name="Line 96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ShapeType="1"/>
        </xdr:cNvSpPr>
      </xdr:nvSpPr>
      <xdr:spPr bwMode="auto">
        <a:xfrm flipH="1">
          <a:off x="4781550" y="1317593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209550</xdr:colOff>
      <xdr:row>644</xdr:row>
      <xdr:rowOff>9525</xdr:rowOff>
    </xdr:from>
    <xdr:to>
      <xdr:col>7</xdr:col>
      <xdr:colOff>257175</xdr:colOff>
      <xdr:row>644</xdr:row>
      <xdr:rowOff>76200</xdr:rowOff>
    </xdr:to>
    <xdr:sp macro="" textlink="">
      <xdr:nvSpPr>
        <xdr:cNvPr id="953" name="Line 96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ShapeType="1"/>
        </xdr:cNvSpPr>
      </xdr:nvSpPr>
      <xdr:spPr bwMode="auto">
        <a:xfrm flipH="1">
          <a:off x="488632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644</xdr:row>
      <xdr:rowOff>9525</xdr:rowOff>
    </xdr:from>
    <xdr:to>
      <xdr:col>7</xdr:col>
      <xdr:colOff>361950</xdr:colOff>
      <xdr:row>644</xdr:row>
      <xdr:rowOff>76200</xdr:rowOff>
    </xdr:to>
    <xdr:sp macro="" textlink="">
      <xdr:nvSpPr>
        <xdr:cNvPr id="954" name="Line 96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ShapeType="1"/>
        </xdr:cNvSpPr>
      </xdr:nvSpPr>
      <xdr:spPr bwMode="auto">
        <a:xfrm flipH="1">
          <a:off x="49911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644</xdr:row>
      <xdr:rowOff>0</xdr:rowOff>
    </xdr:from>
    <xdr:to>
      <xdr:col>7</xdr:col>
      <xdr:colOff>466725</xdr:colOff>
      <xdr:row>644</xdr:row>
      <xdr:rowOff>66675</xdr:rowOff>
    </xdr:to>
    <xdr:sp macro="" textlink="">
      <xdr:nvSpPr>
        <xdr:cNvPr id="955" name="Line 96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ShapeType="1"/>
        </xdr:cNvSpPr>
      </xdr:nvSpPr>
      <xdr:spPr bwMode="auto">
        <a:xfrm flipH="1">
          <a:off x="5095875" y="1317593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644</xdr:row>
      <xdr:rowOff>9525</xdr:rowOff>
    </xdr:from>
    <xdr:to>
      <xdr:col>7</xdr:col>
      <xdr:colOff>561975</xdr:colOff>
      <xdr:row>644</xdr:row>
      <xdr:rowOff>76200</xdr:rowOff>
    </xdr:to>
    <xdr:sp macro="" textlink="">
      <xdr:nvSpPr>
        <xdr:cNvPr id="956" name="Line 96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ShapeType="1"/>
        </xdr:cNvSpPr>
      </xdr:nvSpPr>
      <xdr:spPr bwMode="auto">
        <a:xfrm flipH="1">
          <a:off x="519112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644</xdr:row>
      <xdr:rowOff>9525</xdr:rowOff>
    </xdr:from>
    <xdr:to>
      <xdr:col>8</xdr:col>
      <xdr:colOff>19050</xdr:colOff>
      <xdr:row>644</xdr:row>
      <xdr:rowOff>76200</xdr:rowOff>
    </xdr:to>
    <xdr:sp macro="" textlink="">
      <xdr:nvSpPr>
        <xdr:cNvPr id="957" name="Line 96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ShapeType="1"/>
        </xdr:cNvSpPr>
      </xdr:nvSpPr>
      <xdr:spPr bwMode="auto">
        <a:xfrm flipH="1">
          <a:off x="52959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644</xdr:row>
      <xdr:rowOff>9525</xdr:rowOff>
    </xdr:from>
    <xdr:to>
      <xdr:col>8</xdr:col>
      <xdr:colOff>114300</xdr:colOff>
      <xdr:row>644</xdr:row>
      <xdr:rowOff>76200</xdr:rowOff>
    </xdr:to>
    <xdr:sp macro="" textlink="">
      <xdr:nvSpPr>
        <xdr:cNvPr id="958" name="Line 97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ShapeType="1"/>
        </xdr:cNvSpPr>
      </xdr:nvSpPr>
      <xdr:spPr bwMode="auto">
        <a:xfrm flipH="1">
          <a:off x="539115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161925</xdr:colOff>
      <xdr:row>644</xdr:row>
      <xdr:rowOff>9525</xdr:rowOff>
    </xdr:from>
    <xdr:to>
      <xdr:col>8</xdr:col>
      <xdr:colOff>209550</xdr:colOff>
      <xdr:row>644</xdr:row>
      <xdr:rowOff>76200</xdr:rowOff>
    </xdr:to>
    <xdr:sp macro="" textlink="">
      <xdr:nvSpPr>
        <xdr:cNvPr id="959" name="Line 97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ShapeType="1"/>
        </xdr:cNvSpPr>
      </xdr:nvSpPr>
      <xdr:spPr bwMode="auto">
        <a:xfrm flipH="1">
          <a:off x="54864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238125</xdr:colOff>
      <xdr:row>644</xdr:row>
      <xdr:rowOff>9525</xdr:rowOff>
    </xdr:from>
    <xdr:to>
      <xdr:col>8</xdr:col>
      <xdr:colOff>285750</xdr:colOff>
      <xdr:row>644</xdr:row>
      <xdr:rowOff>76200</xdr:rowOff>
    </xdr:to>
    <xdr:sp macro="" textlink="">
      <xdr:nvSpPr>
        <xdr:cNvPr id="960" name="Line 97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ShapeType="1"/>
        </xdr:cNvSpPr>
      </xdr:nvSpPr>
      <xdr:spPr bwMode="auto">
        <a:xfrm flipH="1">
          <a:off x="55626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644</xdr:row>
      <xdr:rowOff>9525</xdr:rowOff>
    </xdr:from>
    <xdr:to>
      <xdr:col>8</xdr:col>
      <xdr:colOff>400050</xdr:colOff>
      <xdr:row>644</xdr:row>
      <xdr:rowOff>76200</xdr:rowOff>
    </xdr:to>
    <xdr:sp macro="" textlink="">
      <xdr:nvSpPr>
        <xdr:cNvPr id="961" name="Line 97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ShapeType="1"/>
        </xdr:cNvSpPr>
      </xdr:nvSpPr>
      <xdr:spPr bwMode="auto">
        <a:xfrm flipH="1">
          <a:off x="56769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428625</xdr:colOff>
      <xdr:row>644</xdr:row>
      <xdr:rowOff>9525</xdr:rowOff>
    </xdr:from>
    <xdr:to>
      <xdr:col>8</xdr:col>
      <xdr:colOff>476250</xdr:colOff>
      <xdr:row>644</xdr:row>
      <xdr:rowOff>76200</xdr:rowOff>
    </xdr:to>
    <xdr:sp macro="" textlink="">
      <xdr:nvSpPr>
        <xdr:cNvPr id="962" name="Line 97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ShapeType="1"/>
        </xdr:cNvSpPr>
      </xdr:nvSpPr>
      <xdr:spPr bwMode="auto">
        <a:xfrm flipH="1">
          <a:off x="5753100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495300</xdr:colOff>
      <xdr:row>644</xdr:row>
      <xdr:rowOff>9525</xdr:rowOff>
    </xdr:from>
    <xdr:to>
      <xdr:col>8</xdr:col>
      <xdr:colOff>542925</xdr:colOff>
      <xdr:row>644</xdr:row>
      <xdr:rowOff>76200</xdr:rowOff>
    </xdr:to>
    <xdr:sp macro="" textlink="">
      <xdr:nvSpPr>
        <xdr:cNvPr id="963" name="Line 97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ShapeType="1"/>
        </xdr:cNvSpPr>
      </xdr:nvSpPr>
      <xdr:spPr bwMode="auto">
        <a:xfrm flipH="1">
          <a:off x="5819775" y="1317688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642</xdr:row>
      <xdr:rowOff>9525</xdr:rowOff>
    </xdr:from>
    <xdr:to>
      <xdr:col>3</xdr:col>
      <xdr:colOff>114300</xdr:colOff>
      <xdr:row>642</xdr:row>
      <xdr:rowOff>76200</xdr:rowOff>
    </xdr:to>
    <xdr:sp macro="" textlink="">
      <xdr:nvSpPr>
        <xdr:cNvPr id="964" name="Line 97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ShapeType="1"/>
        </xdr:cNvSpPr>
      </xdr:nvSpPr>
      <xdr:spPr bwMode="auto">
        <a:xfrm flipH="1">
          <a:off x="1990725" y="1313688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641</xdr:row>
      <xdr:rowOff>171450</xdr:rowOff>
    </xdr:from>
    <xdr:to>
      <xdr:col>3</xdr:col>
      <xdr:colOff>209550</xdr:colOff>
      <xdr:row>642</xdr:row>
      <xdr:rowOff>38100</xdr:rowOff>
    </xdr:to>
    <xdr:sp macro="" textlink="">
      <xdr:nvSpPr>
        <xdr:cNvPr id="965" name="Line 97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ShapeType="1"/>
        </xdr:cNvSpPr>
      </xdr:nvSpPr>
      <xdr:spPr bwMode="auto">
        <a:xfrm flipH="1">
          <a:off x="2085975" y="1313307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266700</xdr:colOff>
      <xdr:row>641</xdr:row>
      <xdr:rowOff>133350</xdr:rowOff>
    </xdr:from>
    <xdr:to>
      <xdr:col>3</xdr:col>
      <xdr:colOff>314325</xdr:colOff>
      <xdr:row>642</xdr:row>
      <xdr:rowOff>0</xdr:rowOff>
    </xdr:to>
    <xdr:sp macro="" textlink="">
      <xdr:nvSpPr>
        <xdr:cNvPr id="966" name="Line 97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ShapeType="1"/>
        </xdr:cNvSpPr>
      </xdr:nvSpPr>
      <xdr:spPr bwMode="auto">
        <a:xfrm flipH="1">
          <a:off x="2190750" y="1312926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641</xdr:row>
      <xdr:rowOff>104775</xdr:rowOff>
    </xdr:from>
    <xdr:to>
      <xdr:col>3</xdr:col>
      <xdr:colOff>400050</xdr:colOff>
      <xdr:row>641</xdr:row>
      <xdr:rowOff>171450</xdr:rowOff>
    </xdr:to>
    <xdr:sp macro="" textlink="">
      <xdr:nvSpPr>
        <xdr:cNvPr id="967" name="Line 97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ShapeType="1"/>
        </xdr:cNvSpPr>
      </xdr:nvSpPr>
      <xdr:spPr bwMode="auto">
        <a:xfrm flipH="1">
          <a:off x="2276475" y="1312640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641</xdr:row>
      <xdr:rowOff>76200</xdr:rowOff>
    </xdr:from>
    <xdr:to>
      <xdr:col>3</xdr:col>
      <xdr:colOff>495300</xdr:colOff>
      <xdr:row>641</xdr:row>
      <xdr:rowOff>142875</xdr:rowOff>
    </xdr:to>
    <xdr:sp macro="" textlink="">
      <xdr:nvSpPr>
        <xdr:cNvPr id="968" name="Line 98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ShapeType="1"/>
        </xdr:cNvSpPr>
      </xdr:nvSpPr>
      <xdr:spPr bwMode="auto">
        <a:xfrm flipH="1">
          <a:off x="2371725" y="1312354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533400</xdr:colOff>
      <xdr:row>641</xdr:row>
      <xdr:rowOff>47625</xdr:rowOff>
    </xdr:from>
    <xdr:to>
      <xdr:col>3</xdr:col>
      <xdr:colOff>571500</xdr:colOff>
      <xdr:row>641</xdr:row>
      <xdr:rowOff>114300</xdr:rowOff>
    </xdr:to>
    <xdr:sp macro="" textlink="">
      <xdr:nvSpPr>
        <xdr:cNvPr id="969" name="Line 98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ShapeType="1"/>
        </xdr:cNvSpPr>
      </xdr:nvSpPr>
      <xdr:spPr bwMode="auto">
        <a:xfrm flipH="1">
          <a:off x="2457450" y="131206875"/>
          <a:ext cx="3810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641</xdr:row>
      <xdr:rowOff>19050</xdr:rowOff>
    </xdr:from>
    <xdr:to>
      <xdr:col>4</xdr:col>
      <xdr:colOff>38100</xdr:colOff>
      <xdr:row>641</xdr:row>
      <xdr:rowOff>85725</xdr:rowOff>
    </xdr:to>
    <xdr:sp macro="" textlink="">
      <xdr:nvSpPr>
        <xdr:cNvPr id="970" name="Line 98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ShapeType="1"/>
        </xdr:cNvSpPr>
      </xdr:nvSpPr>
      <xdr:spPr bwMode="auto">
        <a:xfrm flipH="1">
          <a:off x="2495550" y="131178300"/>
          <a:ext cx="3810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640</xdr:row>
      <xdr:rowOff>190500</xdr:rowOff>
    </xdr:from>
    <xdr:to>
      <xdr:col>4</xdr:col>
      <xdr:colOff>133350</xdr:colOff>
      <xdr:row>641</xdr:row>
      <xdr:rowOff>57150</xdr:rowOff>
    </xdr:to>
    <xdr:sp macro="" textlink="">
      <xdr:nvSpPr>
        <xdr:cNvPr id="971" name="Line 98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ShapeType="1"/>
        </xdr:cNvSpPr>
      </xdr:nvSpPr>
      <xdr:spPr bwMode="auto">
        <a:xfrm flipH="1">
          <a:off x="2581275" y="1311497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640</xdr:row>
      <xdr:rowOff>180975</xdr:rowOff>
    </xdr:from>
    <xdr:to>
      <xdr:col>4</xdr:col>
      <xdr:colOff>219075</xdr:colOff>
      <xdr:row>641</xdr:row>
      <xdr:rowOff>47625</xdr:rowOff>
    </xdr:to>
    <xdr:sp macro="" textlink="">
      <xdr:nvSpPr>
        <xdr:cNvPr id="972" name="Line 98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ShapeType="1"/>
        </xdr:cNvSpPr>
      </xdr:nvSpPr>
      <xdr:spPr bwMode="auto">
        <a:xfrm flipH="1">
          <a:off x="2667000" y="131140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257175</xdr:colOff>
      <xdr:row>640</xdr:row>
      <xdr:rowOff>180975</xdr:rowOff>
    </xdr:from>
    <xdr:to>
      <xdr:col>4</xdr:col>
      <xdr:colOff>304800</xdr:colOff>
      <xdr:row>641</xdr:row>
      <xdr:rowOff>47625</xdr:rowOff>
    </xdr:to>
    <xdr:sp macro="" textlink="">
      <xdr:nvSpPr>
        <xdr:cNvPr id="973" name="Line 98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ShapeType="1"/>
        </xdr:cNvSpPr>
      </xdr:nvSpPr>
      <xdr:spPr bwMode="auto">
        <a:xfrm flipH="1">
          <a:off x="2752725" y="131140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352425</xdr:colOff>
      <xdr:row>640</xdr:row>
      <xdr:rowOff>180975</xdr:rowOff>
    </xdr:from>
    <xdr:to>
      <xdr:col>4</xdr:col>
      <xdr:colOff>400050</xdr:colOff>
      <xdr:row>641</xdr:row>
      <xdr:rowOff>47625</xdr:rowOff>
    </xdr:to>
    <xdr:sp macro="" textlink="">
      <xdr:nvSpPr>
        <xdr:cNvPr id="974" name="Line 98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 flipH="1">
          <a:off x="2847975" y="131140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447675</xdr:colOff>
      <xdr:row>640</xdr:row>
      <xdr:rowOff>180975</xdr:rowOff>
    </xdr:from>
    <xdr:to>
      <xdr:col>4</xdr:col>
      <xdr:colOff>495300</xdr:colOff>
      <xdr:row>641</xdr:row>
      <xdr:rowOff>47625</xdr:rowOff>
    </xdr:to>
    <xdr:sp macro="" textlink="">
      <xdr:nvSpPr>
        <xdr:cNvPr id="975" name="Line 98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 flipH="1">
          <a:off x="2943225" y="131140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640</xdr:row>
      <xdr:rowOff>180975</xdr:rowOff>
    </xdr:from>
    <xdr:to>
      <xdr:col>4</xdr:col>
      <xdr:colOff>590550</xdr:colOff>
      <xdr:row>641</xdr:row>
      <xdr:rowOff>47625</xdr:rowOff>
    </xdr:to>
    <xdr:sp macro="" textlink="">
      <xdr:nvSpPr>
        <xdr:cNvPr id="976" name="Line 98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ShapeType="1"/>
        </xdr:cNvSpPr>
      </xdr:nvSpPr>
      <xdr:spPr bwMode="auto">
        <a:xfrm flipH="1">
          <a:off x="3038475" y="131140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609600</xdr:colOff>
      <xdr:row>641</xdr:row>
      <xdr:rowOff>9525</xdr:rowOff>
    </xdr:from>
    <xdr:to>
      <xdr:col>4</xdr:col>
      <xdr:colOff>657225</xdr:colOff>
      <xdr:row>641</xdr:row>
      <xdr:rowOff>76200</xdr:rowOff>
    </xdr:to>
    <xdr:sp macro="" textlink="">
      <xdr:nvSpPr>
        <xdr:cNvPr id="977" name="Line 98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ShapeType="1"/>
        </xdr:cNvSpPr>
      </xdr:nvSpPr>
      <xdr:spPr bwMode="auto">
        <a:xfrm flipH="1">
          <a:off x="3105150" y="1311687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666750</xdr:colOff>
      <xdr:row>641</xdr:row>
      <xdr:rowOff>47625</xdr:rowOff>
    </xdr:from>
    <xdr:to>
      <xdr:col>5</xdr:col>
      <xdr:colOff>9525</xdr:colOff>
      <xdr:row>641</xdr:row>
      <xdr:rowOff>114300</xdr:rowOff>
    </xdr:to>
    <xdr:sp macro="" textlink="">
      <xdr:nvSpPr>
        <xdr:cNvPr id="978" name="Line 99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ShapeType="1"/>
        </xdr:cNvSpPr>
      </xdr:nvSpPr>
      <xdr:spPr bwMode="auto">
        <a:xfrm flipH="1">
          <a:off x="3162300" y="1312068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641</xdr:row>
      <xdr:rowOff>85725</xdr:rowOff>
    </xdr:from>
    <xdr:to>
      <xdr:col>5</xdr:col>
      <xdr:colOff>66675</xdr:colOff>
      <xdr:row>641</xdr:row>
      <xdr:rowOff>152400</xdr:rowOff>
    </xdr:to>
    <xdr:sp macro="" textlink="">
      <xdr:nvSpPr>
        <xdr:cNvPr id="979" name="Line 99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ShapeType="1"/>
        </xdr:cNvSpPr>
      </xdr:nvSpPr>
      <xdr:spPr bwMode="auto">
        <a:xfrm flipH="1">
          <a:off x="3219450" y="1312449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641</xdr:row>
      <xdr:rowOff>123825</xdr:rowOff>
    </xdr:from>
    <xdr:to>
      <xdr:col>5</xdr:col>
      <xdr:colOff>133350</xdr:colOff>
      <xdr:row>641</xdr:row>
      <xdr:rowOff>190500</xdr:rowOff>
    </xdr:to>
    <xdr:sp macro="" textlink="">
      <xdr:nvSpPr>
        <xdr:cNvPr id="980" name="Line 99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ShapeType="1"/>
        </xdr:cNvSpPr>
      </xdr:nvSpPr>
      <xdr:spPr bwMode="auto">
        <a:xfrm flipH="1">
          <a:off x="3286125" y="1312830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641</xdr:row>
      <xdr:rowOff>152400</xdr:rowOff>
    </xdr:from>
    <xdr:to>
      <xdr:col>5</xdr:col>
      <xdr:colOff>209550</xdr:colOff>
      <xdr:row>642</xdr:row>
      <xdr:rowOff>19050</xdr:rowOff>
    </xdr:to>
    <xdr:sp macro="" textlink="">
      <xdr:nvSpPr>
        <xdr:cNvPr id="981" name="Line 99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ShapeType="1"/>
        </xdr:cNvSpPr>
      </xdr:nvSpPr>
      <xdr:spPr bwMode="auto">
        <a:xfrm flipH="1">
          <a:off x="3362325" y="13131165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642</xdr:row>
      <xdr:rowOff>0</xdr:rowOff>
    </xdr:from>
    <xdr:to>
      <xdr:col>5</xdr:col>
      <xdr:colOff>257175</xdr:colOff>
      <xdr:row>642</xdr:row>
      <xdr:rowOff>66675</xdr:rowOff>
    </xdr:to>
    <xdr:sp macro="" textlink="">
      <xdr:nvSpPr>
        <xdr:cNvPr id="982" name="Line 99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ShapeType="1"/>
        </xdr:cNvSpPr>
      </xdr:nvSpPr>
      <xdr:spPr bwMode="auto">
        <a:xfrm flipH="1">
          <a:off x="3409950" y="1313592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642</xdr:row>
      <xdr:rowOff>38100</xdr:rowOff>
    </xdr:from>
    <xdr:to>
      <xdr:col>5</xdr:col>
      <xdr:colOff>323850</xdr:colOff>
      <xdr:row>642</xdr:row>
      <xdr:rowOff>104775</xdr:rowOff>
    </xdr:to>
    <xdr:sp macro="" textlink="">
      <xdr:nvSpPr>
        <xdr:cNvPr id="983" name="Line 99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 flipH="1">
          <a:off x="3476625" y="131397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642</xdr:row>
      <xdr:rowOff>76200</xdr:rowOff>
    </xdr:from>
    <xdr:to>
      <xdr:col>5</xdr:col>
      <xdr:colOff>390525</xdr:colOff>
      <xdr:row>642</xdr:row>
      <xdr:rowOff>142875</xdr:rowOff>
    </xdr:to>
    <xdr:sp macro="" textlink="">
      <xdr:nvSpPr>
        <xdr:cNvPr id="984" name="Line 99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 flipH="1">
          <a:off x="3543300" y="1314354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642</xdr:row>
      <xdr:rowOff>123825</xdr:rowOff>
    </xdr:from>
    <xdr:to>
      <xdr:col>5</xdr:col>
      <xdr:colOff>466725</xdr:colOff>
      <xdr:row>642</xdr:row>
      <xdr:rowOff>190500</xdr:rowOff>
    </xdr:to>
    <xdr:sp macro="" textlink="">
      <xdr:nvSpPr>
        <xdr:cNvPr id="985" name="Line 99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ShapeType="1"/>
        </xdr:cNvSpPr>
      </xdr:nvSpPr>
      <xdr:spPr bwMode="auto">
        <a:xfrm flipH="1">
          <a:off x="3619500" y="1314831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642</xdr:row>
      <xdr:rowOff>161925</xdr:rowOff>
    </xdr:from>
    <xdr:to>
      <xdr:col>5</xdr:col>
      <xdr:colOff>542925</xdr:colOff>
      <xdr:row>643</xdr:row>
      <xdr:rowOff>28575</xdr:rowOff>
    </xdr:to>
    <xdr:sp macro="" textlink="">
      <xdr:nvSpPr>
        <xdr:cNvPr id="986" name="Line 99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ShapeType="1"/>
        </xdr:cNvSpPr>
      </xdr:nvSpPr>
      <xdr:spPr bwMode="auto">
        <a:xfrm flipH="1">
          <a:off x="3695700" y="1315212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561975</xdr:colOff>
      <xdr:row>643</xdr:row>
      <xdr:rowOff>9525</xdr:rowOff>
    </xdr:from>
    <xdr:to>
      <xdr:col>5</xdr:col>
      <xdr:colOff>609600</xdr:colOff>
      <xdr:row>643</xdr:row>
      <xdr:rowOff>76200</xdr:rowOff>
    </xdr:to>
    <xdr:sp macro="" textlink="">
      <xdr:nvSpPr>
        <xdr:cNvPr id="987" name="Line 99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ShapeType="1"/>
        </xdr:cNvSpPr>
      </xdr:nvSpPr>
      <xdr:spPr bwMode="auto">
        <a:xfrm flipH="1">
          <a:off x="3762375" y="1315688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638175</xdr:colOff>
      <xdr:row>643</xdr:row>
      <xdr:rowOff>38100</xdr:rowOff>
    </xdr:from>
    <xdr:to>
      <xdr:col>5</xdr:col>
      <xdr:colOff>685800</xdr:colOff>
      <xdr:row>643</xdr:row>
      <xdr:rowOff>104775</xdr:rowOff>
    </xdr:to>
    <xdr:sp macro="" textlink="">
      <xdr:nvSpPr>
        <xdr:cNvPr id="988" name="Line 100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ShapeType="1"/>
        </xdr:cNvSpPr>
      </xdr:nvSpPr>
      <xdr:spPr bwMode="auto">
        <a:xfrm flipH="1">
          <a:off x="3838575" y="131597400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643</xdr:row>
      <xdr:rowOff>85725</xdr:rowOff>
    </xdr:from>
    <xdr:to>
      <xdr:col>6</xdr:col>
      <xdr:colOff>47625</xdr:colOff>
      <xdr:row>643</xdr:row>
      <xdr:rowOff>152400</xdr:rowOff>
    </xdr:to>
    <xdr:sp macro="" textlink="">
      <xdr:nvSpPr>
        <xdr:cNvPr id="989" name="Line 100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ShapeType="1"/>
        </xdr:cNvSpPr>
      </xdr:nvSpPr>
      <xdr:spPr bwMode="auto">
        <a:xfrm flipH="1">
          <a:off x="3905250" y="1316450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643</xdr:row>
      <xdr:rowOff>123825</xdr:rowOff>
    </xdr:from>
    <xdr:to>
      <xdr:col>6</xdr:col>
      <xdr:colOff>114300</xdr:colOff>
      <xdr:row>643</xdr:row>
      <xdr:rowOff>190500</xdr:rowOff>
    </xdr:to>
    <xdr:sp macro="" textlink="">
      <xdr:nvSpPr>
        <xdr:cNvPr id="990" name="Line 100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ShapeType="1"/>
        </xdr:cNvSpPr>
      </xdr:nvSpPr>
      <xdr:spPr bwMode="auto">
        <a:xfrm flipH="1">
          <a:off x="3971925" y="1316831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643</xdr:row>
      <xdr:rowOff>161925</xdr:rowOff>
    </xdr:from>
    <xdr:to>
      <xdr:col>6</xdr:col>
      <xdr:colOff>171450</xdr:colOff>
      <xdr:row>644</xdr:row>
      <xdr:rowOff>28575</xdr:rowOff>
    </xdr:to>
    <xdr:sp macro="" textlink="">
      <xdr:nvSpPr>
        <xdr:cNvPr id="991" name="Line 100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ShapeType="1"/>
        </xdr:cNvSpPr>
      </xdr:nvSpPr>
      <xdr:spPr bwMode="auto">
        <a:xfrm flipH="1">
          <a:off x="4029075" y="13172122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644</xdr:row>
      <xdr:rowOff>19050</xdr:rowOff>
    </xdr:from>
    <xdr:to>
      <xdr:col>6</xdr:col>
      <xdr:colOff>238125</xdr:colOff>
      <xdr:row>644</xdr:row>
      <xdr:rowOff>85725</xdr:rowOff>
    </xdr:to>
    <xdr:sp macro="" textlink="">
      <xdr:nvSpPr>
        <xdr:cNvPr id="992" name="Line 100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ShapeType="1"/>
        </xdr:cNvSpPr>
      </xdr:nvSpPr>
      <xdr:spPr bwMode="auto">
        <a:xfrm flipH="1">
          <a:off x="4095750" y="131778375"/>
          <a:ext cx="4762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720</xdr:row>
      <xdr:rowOff>0</xdr:rowOff>
    </xdr:from>
    <xdr:to>
      <xdr:col>8</xdr:col>
      <xdr:colOff>247650</xdr:colOff>
      <xdr:row>723</xdr:row>
      <xdr:rowOff>57150</xdr:rowOff>
    </xdr:to>
    <xdr:sp macro="" textlink="">
      <xdr:nvSpPr>
        <xdr:cNvPr id="993" name="Rectangle 102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342900" y="147380325"/>
          <a:ext cx="5229225" cy="657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590</xdr:row>
      <xdr:rowOff>9525</xdr:rowOff>
    </xdr:from>
    <xdr:to>
      <xdr:col>7</xdr:col>
      <xdr:colOff>514350</xdr:colOff>
      <xdr:row>600</xdr:row>
      <xdr:rowOff>0</xdr:rowOff>
    </xdr:to>
    <xdr:grpSp>
      <xdr:nvGrpSpPr>
        <xdr:cNvPr id="994" name="Group 102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GrpSpPr>
          <a:grpSpLocks/>
        </xdr:cNvGrpSpPr>
      </xdr:nvGrpSpPr>
      <xdr:grpSpPr bwMode="auto">
        <a:xfrm>
          <a:off x="523875" y="133921500"/>
          <a:ext cx="5467350" cy="1990725"/>
          <a:chOff x="37" y="10942"/>
          <a:chExt cx="513" cy="209"/>
        </a:xfrm>
      </xdr:grpSpPr>
      <xdr:sp macro="" textlink="">
        <xdr:nvSpPr>
          <xdr:cNvPr id="995" name="Rectangle 1024">
            <a:extLst>
              <a:ext uri="{FF2B5EF4-FFF2-40B4-BE49-F238E27FC236}">
                <a16:creationId xmlns:a16="http://schemas.microsoft.com/office/drawing/2014/main" id="{00000000-0008-0000-0000-0000E3030000}"/>
              </a:ext>
            </a:extLst>
          </xdr:cNvPr>
          <xdr:cNvSpPr>
            <a:spLocks noChangeArrowheads="1"/>
          </xdr:cNvSpPr>
        </xdr:nvSpPr>
        <xdr:spPr bwMode="auto">
          <a:xfrm>
            <a:off x="37" y="10942"/>
            <a:ext cx="513" cy="20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96" name="Line 1025">
            <a:extLst>
              <a:ext uri="{FF2B5EF4-FFF2-40B4-BE49-F238E27FC236}">
                <a16:creationId xmlns:a16="http://schemas.microsoft.com/office/drawing/2014/main" id="{00000000-0008-0000-0000-0000E4030000}"/>
              </a:ext>
            </a:extLst>
          </xdr:cNvPr>
          <xdr:cNvSpPr>
            <a:spLocks noChangeShapeType="1"/>
          </xdr:cNvSpPr>
        </xdr:nvSpPr>
        <xdr:spPr bwMode="auto">
          <a:xfrm>
            <a:off x="93" y="11084"/>
            <a:ext cx="421" cy="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7" name="Line 1026">
            <a:extLst>
              <a:ext uri="{FF2B5EF4-FFF2-40B4-BE49-F238E27FC236}">
                <a16:creationId xmlns:a16="http://schemas.microsoft.com/office/drawing/2014/main" id="{00000000-0008-0000-0000-0000E5030000}"/>
              </a:ext>
            </a:extLst>
          </xdr:cNvPr>
          <xdr:cNvSpPr>
            <a:spLocks noChangeShapeType="1"/>
          </xdr:cNvSpPr>
        </xdr:nvSpPr>
        <xdr:spPr bwMode="auto">
          <a:xfrm>
            <a:off x="356" y="11005"/>
            <a:ext cx="156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8" name="Line 1027">
            <a:extLst>
              <a:ext uri="{FF2B5EF4-FFF2-40B4-BE49-F238E27FC236}">
                <a16:creationId xmlns:a16="http://schemas.microsoft.com/office/drawing/2014/main" id="{00000000-0008-0000-0000-0000E603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" y="11050"/>
            <a:ext cx="34" cy="3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9" name="Line 1028">
            <a:extLst>
              <a:ext uri="{FF2B5EF4-FFF2-40B4-BE49-F238E27FC236}">
                <a16:creationId xmlns:a16="http://schemas.microsoft.com/office/drawing/2014/main" id="{00000000-0008-0000-0000-0000E7030000}"/>
              </a:ext>
            </a:extLst>
          </xdr:cNvPr>
          <xdr:cNvSpPr>
            <a:spLocks noChangeShapeType="1"/>
          </xdr:cNvSpPr>
        </xdr:nvSpPr>
        <xdr:spPr bwMode="auto">
          <a:xfrm>
            <a:off x="330" y="11050"/>
            <a:ext cx="4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0" name="Line 1029">
            <a:extLst>
              <a:ext uri="{FF2B5EF4-FFF2-40B4-BE49-F238E27FC236}">
                <a16:creationId xmlns:a16="http://schemas.microsoft.com/office/drawing/2014/main" id="{00000000-0008-0000-0000-0000E8030000}"/>
              </a:ext>
            </a:extLst>
          </xdr:cNvPr>
          <xdr:cNvSpPr>
            <a:spLocks noChangeShapeType="1"/>
          </xdr:cNvSpPr>
        </xdr:nvSpPr>
        <xdr:spPr bwMode="auto">
          <a:xfrm>
            <a:off x="371" y="11050"/>
            <a:ext cx="52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1" name="Line 1030">
            <a:extLst>
              <a:ext uri="{FF2B5EF4-FFF2-40B4-BE49-F238E27FC236}">
                <a16:creationId xmlns:a16="http://schemas.microsoft.com/office/drawing/2014/main" id="{00000000-0008-0000-0000-0000E9030000}"/>
              </a:ext>
            </a:extLst>
          </xdr:cNvPr>
          <xdr:cNvSpPr>
            <a:spLocks noChangeShapeType="1"/>
          </xdr:cNvSpPr>
        </xdr:nvSpPr>
        <xdr:spPr bwMode="auto">
          <a:xfrm>
            <a:off x="114" y="11003"/>
            <a:ext cx="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2" name="Line 1031">
            <a:extLst>
              <a:ext uri="{FF2B5EF4-FFF2-40B4-BE49-F238E27FC236}">
                <a16:creationId xmlns:a16="http://schemas.microsoft.com/office/drawing/2014/main" id="{00000000-0008-0000-0000-0000EA030000}"/>
              </a:ext>
            </a:extLst>
          </xdr:cNvPr>
          <xdr:cNvSpPr>
            <a:spLocks noChangeShapeType="1"/>
          </xdr:cNvSpPr>
        </xdr:nvSpPr>
        <xdr:spPr bwMode="auto">
          <a:xfrm>
            <a:off x="156" y="11003"/>
            <a:ext cx="198" cy="2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3" name="Line 1032">
            <a:extLst>
              <a:ext uri="{FF2B5EF4-FFF2-40B4-BE49-F238E27FC236}">
                <a16:creationId xmlns:a16="http://schemas.microsoft.com/office/drawing/2014/main" id="{00000000-0008-0000-0000-0000EB03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5" y="10995"/>
            <a:ext cx="16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4" name="Line 1033">
            <a:extLst>
              <a:ext uri="{FF2B5EF4-FFF2-40B4-BE49-F238E27FC236}">
                <a16:creationId xmlns:a16="http://schemas.microsoft.com/office/drawing/2014/main" id="{00000000-0008-0000-0000-0000EC030000}"/>
              </a:ext>
            </a:extLst>
          </xdr:cNvPr>
          <xdr:cNvSpPr>
            <a:spLocks noChangeShapeType="1"/>
          </xdr:cNvSpPr>
        </xdr:nvSpPr>
        <xdr:spPr bwMode="auto">
          <a:xfrm>
            <a:off x="314" y="10995"/>
            <a:ext cx="45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5" name="Line 1034">
            <a:extLst>
              <a:ext uri="{FF2B5EF4-FFF2-40B4-BE49-F238E27FC236}">
                <a16:creationId xmlns:a16="http://schemas.microsoft.com/office/drawing/2014/main" id="{00000000-0008-0000-0000-0000ED030000}"/>
              </a:ext>
            </a:extLst>
          </xdr:cNvPr>
          <xdr:cNvSpPr>
            <a:spLocks noChangeShapeType="1"/>
          </xdr:cNvSpPr>
        </xdr:nvSpPr>
        <xdr:spPr bwMode="auto">
          <a:xfrm>
            <a:off x="154" y="11003"/>
            <a:ext cx="0" cy="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6" name="Line 1035">
            <a:extLst>
              <a:ext uri="{FF2B5EF4-FFF2-40B4-BE49-F238E27FC236}">
                <a16:creationId xmlns:a16="http://schemas.microsoft.com/office/drawing/2014/main" id="{00000000-0008-0000-0000-0000EE03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92" y="10995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7" name="Line 1036">
            <a:extLst>
              <a:ext uri="{FF2B5EF4-FFF2-40B4-BE49-F238E27FC236}">
                <a16:creationId xmlns:a16="http://schemas.microsoft.com/office/drawing/2014/main" id="{00000000-0008-0000-0000-0000EF030000}"/>
              </a:ext>
            </a:extLst>
          </xdr:cNvPr>
          <xdr:cNvSpPr>
            <a:spLocks noChangeShapeType="1"/>
          </xdr:cNvSpPr>
        </xdr:nvSpPr>
        <xdr:spPr bwMode="auto">
          <a:xfrm>
            <a:off x="492" y="11006"/>
            <a:ext cx="0" cy="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sm" len="lg"/>
            <a:tailEnd type="triangle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8" name="Line 1037">
            <a:extLst>
              <a:ext uri="{FF2B5EF4-FFF2-40B4-BE49-F238E27FC236}">
                <a16:creationId xmlns:a16="http://schemas.microsoft.com/office/drawing/2014/main" id="{00000000-0008-0000-0000-0000F0030000}"/>
              </a:ext>
            </a:extLst>
          </xdr:cNvPr>
          <xdr:cNvSpPr>
            <a:spLocks noChangeShapeType="1"/>
          </xdr:cNvSpPr>
        </xdr:nvSpPr>
        <xdr:spPr bwMode="auto">
          <a:xfrm>
            <a:off x="154" y="11101"/>
            <a:ext cx="13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stealth" w="sm" len="lg"/>
            <a:tailEnd type="stealth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9" name="Text Box 1038">
            <a:extLst>
              <a:ext uri="{FF2B5EF4-FFF2-40B4-BE49-F238E27FC236}">
                <a16:creationId xmlns:a16="http://schemas.microsoft.com/office/drawing/2014/main" id="{00000000-0008-0000-0000-0000F1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" y="11033"/>
            <a:ext cx="31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</a:t>
            </a:r>
            <a:r>
              <a:rPr lang="en-US" sz="1000" b="0" i="0" strike="noStrike" baseline="-25000">
                <a:solidFill>
                  <a:srgbClr val="000000"/>
                </a:solidFill>
                <a:latin typeface="Book Antiqua"/>
              </a:rPr>
              <a:t>1</a:t>
            </a:r>
          </a:p>
        </xdr:txBody>
      </xdr:sp>
      <xdr:sp macro="" textlink="">
        <xdr:nvSpPr>
          <xdr:cNvPr id="1010" name="Text Box 1039">
            <a:extLst>
              <a:ext uri="{FF2B5EF4-FFF2-40B4-BE49-F238E27FC236}">
                <a16:creationId xmlns:a16="http://schemas.microsoft.com/office/drawing/2014/main" id="{00000000-0008-0000-0000-0000F2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0" y="11024"/>
            <a:ext cx="19" cy="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</a:t>
            </a:r>
            <a:r>
              <a:rPr lang="en-US" sz="1000" b="0" i="0" strike="noStrike" baseline="-25000">
                <a:solidFill>
                  <a:srgbClr val="000000"/>
                </a:solidFill>
                <a:latin typeface="Book Antiqua"/>
              </a:rPr>
              <a:t>2</a:t>
            </a:r>
          </a:p>
        </xdr:txBody>
      </xdr:sp>
      <xdr:sp macro="" textlink="">
        <xdr:nvSpPr>
          <xdr:cNvPr id="1011" name="Text Box 1040">
            <a:extLst>
              <a:ext uri="{FF2B5EF4-FFF2-40B4-BE49-F238E27FC236}">
                <a16:creationId xmlns:a16="http://schemas.microsoft.com/office/drawing/2014/main" id="{00000000-0008-0000-0000-0000F3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6" y="11029"/>
            <a:ext cx="25" cy="2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D</a:t>
            </a:r>
          </a:p>
        </xdr:txBody>
      </xdr:sp>
      <xdr:sp macro="" textlink="">
        <xdr:nvSpPr>
          <xdr:cNvPr id="1012" name="Text Box 1041">
            <a:extLst>
              <a:ext uri="{FF2B5EF4-FFF2-40B4-BE49-F238E27FC236}">
                <a16:creationId xmlns:a16="http://schemas.microsoft.com/office/drawing/2014/main" id="{00000000-0008-0000-0000-0000F4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" y="11104"/>
            <a:ext cx="18" cy="2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L</a:t>
            </a:r>
          </a:p>
        </xdr:txBody>
      </xdr:sp>
      <xdr:sp macro="" textlink="">
        <xdr:nvSpPr>
          <xdr:cNvPr id="1013" name="Text Box 1042">
            <a:extLst>
              <a:ext uri="{FF2B5EF4-FFF2-40B4-BE49-F238E27FC236}">
                <a16:creationId xmlns:a16="http://schemas.microsoft.com/office/drawing/2014/main" id="{00000000-0008-0000-0000-0000F5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" y="11123"/>
            <a:ext cx="200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Book Antiqua"/>
              </a:rPr>
              <a:t>Bresse Backwater Function</a:t>
            </a:r>
          </a:p>
        </xdr:txBody>
      </xdr:sp>
      <xdr:sp macro="" textlink="">
        <xdr:nvSpPr>
          <xdr:cNvPr id="1014" name="Line 1043">
            <a:extLst>
              <a:ext uri="{FF2B5EF4-FFF2-40B4-BE49-F238E27FC236}">
                <a16:creationId xmlns:a16="http://schemas.microsoft.com/office/drawing/2014/main" id="{00000000-0008-0000-0000-0000F6030000}"/>
              </a:ext>
            </a:extLst>
          </xdr:cNvPr>
          <xdr:cNvSpPr>
            <a:spLocks noChangeShapeType="1"/>
          </xdr:cNvSpPr>
        </xdr:nvSpPr>
        <xdr:spPr bwMode="auto">
          <a:xfrm>
            <a:off x="193" y="11075"/>
            <a:ext cx="4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stealth" w="sm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514350</xdr:colOff>
      <xdr:row>596</xdr:row>
      <xdr:rowOff>161925</xdr:rowOff>
    </xdr:from>
    <xdr:to>
      <xdr:col>1</xdr:col>
      <xdr:colOff>581025</xdr:colOff>
      <xdr:row>597</xdr:row>
      <xdr:rowOff>47625</xdr:rowOff>
    </xdr:to>
    <xdr:sp macro="" textlink="">
      <xdr:nvSpPr>
        <xdr:cNvPr id="1015" name="Line 104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ShapeType="1"/>
        </xdr:cNvSpPr>
      </xdr:nvSpPr>
      <xdr:spPr bwMode="auto">
        <a:xfrm flipH="1">
          <a:off x="866775" y="12196762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638175</xdr:colOff>
      <xdr:row>596</xdr:row>
      <xdr:rowOff>161925</xdr:rowOff>
    </xdr:from>
    <xdr:to>
      <xdr:col>1</xdr:col>
      <xdr:colOff>704850</xdr:colOff>
      <xdr:row>597</xdr:row>
      <xdr:rowOff>47625</xdr:rowOff>
    </xdr:to>
    <xdr:sp macro="" textlink="">
      <xdr:nvSpPr>
        <xdr:cNvPr id="1016" name="Line 104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ShapeType="1"/>
        </xdr:cNvSpPr>
      </xdr:nvSpPr>
      <xdr:spPr bwMode="auto">
        <a:xfrm flipH="1">
          <a:off x="990600" y="12196762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596</xdr:row>
      <xdr:rowOff>171450</xdr:rowOff>
    </xdr:from>
    <xdr:to>
      <xdr:col>2</xdr:col>
      <xdr:colOff>85725</xdr:colOff>
      <xdr:row>597</xdr:row>
      <xdr:rowOff>57150</xdr:rowOff>
    </xdr:to>
    <xdr:sp macro="" textlink="">
      <xdr:nvSpPr>
        <xdr:cNvPr id="1017" name="Line 104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ShapeType="1"/>
        </xdr:cNvSpPr>
      </xdr:nvSpPr>
      <xdr:spPr bwMode="auto">
        <a:xfrm flipH="1">
          <a:off x="1114425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596</xdr:row>
      <xdr:rowOff>171450</xdr:rowOff>
    </xdr:from>
    <xdr:to>
      <xdr:col>2</xdr:col>
      <xdr:colOff>209550</xdr:colOff>
      <xdr:row>597</xdr:row>
      <xdr:rowOff>57150</xdr:rowOff>
    </xdr:to>
    <xdr:sp macro="" textlink="">
      <xdr:nvSpPr>
        <xdr:cNvPr id="1018" name="Line 104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ShapeType="1"/>
        </xdr:cNvSpPr>
      </xdr:nvSpPr>
      <xdr:spPr bwMode="auto">
        <a:xfrm flipH="1">
          <a:off x="1238250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596</xdr:row>
      <xdr:rowOff>171450</xdr:rowOff>
    </xdr:from>
    <xdr:to>
      <xdr:col>2</xdr:col>
      <xdr:colOff>323850</xdr:colOff>
      <xdr:row>597</xdr:row>
      <xdr:rowOff>57150</xdr:rowOff>
    </xdr:to>
    <xdr:sp macro="" textlink="">
      <xdr:nvSpPr>
        <xdr:cNvPr id="1019" name="Line 104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ShapeType="1"/>
        </xdr:cNvSpPr>
      </xdr:nvSpPr>
      <xdr:spPr bwMode="auto">
        <a:xfrm flipH="1">
          <a:off x="1352550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596</xdr:row>
      <xdr:rowOff>171450</xdr:rowOff>
    </xdr:from>
    <xdr:to>
      <xdr:col>2</xdr:col>
      <xdr:colOff>438150</xdr:colOff>
      <xdr:row>597</xdr:row>
      <xdr:rowOff>57150</xdr:rowOff>
    </xdr:to>
    <xdr:sp macro="" textlink="">
      <xdr:nvSpPr>
        <xdr:cNvPr id="1020" name="Line 104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ShapeType="1"/>
        </xdr:cNvSpPr>
      </xdr:nvSpPr>
      <xdr:spPr bwMode="auto">
        <a:xfrm flipH="1">
          <a:off x="1466850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596</xdr:row>
      <xdr:rowOff>171450</xdr:rowOff>
    </xdr:from>
    <xdr:to>
      <xdr:col>2</xdr:col>
      <xdr:colOff>542925</xdr:colOff>
      <xdr:row>597</xdr:row>
      <xdr:rowOff>57150</xdr:rowOff>
    </xdr:to>
    <xdr:sp macro="" textlink="">
      <xdr:nvSpPr>
        <xdr:cNvPr id="1021" name="Line 105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ShapeType="1"/>
        </xdr:cNvSpPr>
      </xdr:nvSpPr>
      <xdr:spPr bwMode="auto">
        <a:xfrm flipH="1">
          <a:off x="1571625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596</xdr:row>
      <xdr:rowOff>171450</xdr:rowOff>
    </xdr:from>
    <xdr:to>
      <xdr:col>2</xdr:col>
      <xdr:colOff>638175</xdr:colOff>
      <xdr:row>597</xdr:row>
      <xdr:rowOff>57150</xdr:rowOff>
    </xdr:to>
    <xdr:sp macro="" textlink="">
      <xdr:nvSpPr>
        <xdr:cNvPr id="1022" name="Line 105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ShapeType="1"/>
        </xdr:cNvSpPr>
      </xdr:nvSpPr>
      <xdr:spPr bwMode="auto">
        <a:xfrm flipH="1">
          <a:off x="1666875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596</xdr:row>
      <xdr:rowOff>171450</xdr:rowOff>
    </xdr:from>
    <xdr:to>
      <xdr:col>2</xdr:col>
      <xdr:colOff>752475</xdr:colOff>
      <xdr:row>597</xdr:row>
      <xdr:rowOff>57150</xdr:rowOff>
    </xdr:to>
    <xdr:sp macro="" textlink="">
      <xdr:nvSpPr>
        <xdr:cNvPr id="1023" name="Line 105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ShapeType="1"/>
        </xdr:cNvSpPr>
      </xdr:nvSpPr>
      <xdr:spPr bwMode="auto">
        <a:xfrm flipH="1">
          <a:off x="1781175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809625</xdr:colOff>
      <xdr:row>596</xdr:row>
      <xdr:rowOff>171450</xdr:rowOff>
    </xdr:from>
    <xdr:to>
      <xdr:col>3</xdr:col>
      <xdr:colOff>47625</xdr:colOff>
      <xdr:row>597</xdr:row>
      <xdr:rowOff>57150</xdr:rowOff>
    </xdr:to>
    <xdr:sp macro="" textlink="">
      <xdr:nvSpPr>
        <xdr:cNvPr id="1024" name="Line 105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 flipH="1">
          <a:off x="1905000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596</xdr:row>
      <xdr:rowOff>171450</xdr:rowOff>
    </xdr:from>
    <xdr:to>
      <xdr:col>3</xdr:col>
      <xdr:colOff>152400</xdr:colOff>
      <xdr:row>597</xdr:row>
      <xdr:rowOff>57150</xdr:rowOff>
    </xdr:to>
    <xdr:sp macro="" textlink="">
      <xdr:nvSpPr>
        <xdr:cNvPr id="1025" name="Line 105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2009775" y="12197715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596</xdr:row>
      <xdr:rowOff>180975</xdr:rowOff>
    </xdr:from>
    <xdr:to>
      <xdr:col>3</xdr:col>
      <xdr:colOff>257175</xdr:colOff>
      <xdr:row>597</xdr:row>
      <xdr:rowOff>66675</xdr:rowOff>
    </xdr:to>
    <xdr:sp macro="" textlink="">
      <xdr:nvSpPr>
        <xdr:cNvPr id="1026" name="Line 105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211455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596</xdr:row>
      <xdr:rowOff>180975</xdr:rowOff>
    </xdr:from>
    <xdr:to>
      <xdr:col>3</xdr:col>
      <xdr:colOff>361950</xdr:colOff>
      <xdr:row>597</xdr:row>
      <xdr:rowOff>66675</xdr:rowOff>
    </xdr:to>
    <xdr:sp macro="" textlink="">
      <xdr:nvSpPr>
        <xdr:cNvPr id="1027" name="Line 105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221932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596</xdr:row>
      <xdr:rowOff>180975</xdr:rowOff>
    </xdr:from>
    <xdr:to>
      <xdr:col>3</xdr:col>
      <xdr:colOff>466725</xdr:colOff>
      <xdr:row>597</xdr:row>
      <xdr:rowOff>66675</xdr:rowOff>
    </xdr:to>
    <xdr:sp macro="" textlink="">
      <xdr:nvSpPr>
        <xdr:cNvPr id="1028" name="Line 105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H="1">
          <a:off x="232410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504825</xdr:colOff>
      <xdr:row>596</xdr:row>
      <xdr:rowOff>180975</xdr:rowOff>
    </xdr:from>
    <xdr:to>
      <xdr:col>3</xdr:col>
      <xdr:colOff>571500</xdr:colOff>
      <xdr:row>597</xdr:row>
      <xdr:rowOff>66675</xdr:rowOff>
    </xdr:to>
    <xdr:sp macro="" textlink="">
      <xdr:nvSpPr>
        <xdr:cNvPr id="1029" name="Line 105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>
          <a:off x="242887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596</xdr:row>
      <xdr:rowOff>180975</xdr:rowOff>
    </xdr:from>
    <xdr:to>
      <xdr:col>4</xdr:col>
      <xdr:colOff>57150</xdr:colOff>
      <xdr:row>597</xdr:row>
      <xdr:rowOff>66675</xdr:rowOff>
    </xdr:to>
    <xdr:sp macro="" textlink="">
      <xdr:nvSpPr>
        <xdr:cNvPr id="1030" name="Line 105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 flipH="1">
          <a:off x="2495550" y="121986675"/>
          <a:ext cx="571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596</xdr:row>
      <xdr:rowOff>180975</xdr:rowOff>
    </xdr:from>
    <xdr:to>
      <xdr:col>4</xdr:col>
      <xdr:colOff>161925</xdr:colOff>
      <xdr:row>597</xdr:row>
      <xdr:rowOff>66675</xdr:rowOff>
    </xdr:to>
    <xdr:sp macro="" textlink="">
      <xdr:nvSpPr>
        <xdr:cNvPr id="1031" name="Line 106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 flipH="1">
          <a:off x="259080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200025</xdr:colOff>
      <xdr:row>596</xdr:row>
      <xdr:rowOff>180975</xdr:rowOff>
    </xdr:from>
    <xdr:to>
      <xdr:col>4</xdr:col>
      <xdr:colOff>266700</xdr:colOff>
      <xdr:row>597</xdr:row>
      <xdr:rowOff>66675</xdr:rowOff>
    </xdr:to>
    <xdr:sp macro="" textlink="">
      <xdr:nvSpPr>
        <xdr:cNvPr id="1032" name="Line 106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 flipH="1">
          <a:off x="269557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596</xdr:row>
      <xdr:rowOff>180975</xdr:rowOff>
    </xdr:from>
    <xdr:to>
      <xdr:col>4</xdr:col>
      <xdr:colOff>371475</xdr:colOff>
      <xdr:row>597</xdr:row>
      <xdr:rowOff>66675</xdr:rowOff>
    </xdr:to>
    <xdr:sp macro="" textlink="">
      <xdr:nvSpPr>
        <xdr:cNvPr id="1033" name="Line 106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 flipH="1">
          <a:off x="280035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596</xdr:row>
      <xdr:rowOff>180975</xdr:rowOff>
    </xdr:from>
    <xdr:to>
      <xdr:col>4</xdr:col>
      <xdr:colOff>485775</xdr:colOff>
      <xdr:row>597</xdr:row>
      <xdr:rowOff>66675</xdr:rowOff>
    </xdr:to>
    <xdr:sp macro="" textlink="">
      <xdr:nvSpPr>
        <xdr:cNvPr id="1034" name="Line 106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 flipH="1">
          <a:off x="291465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596</xdr:row>
      <xdr:rowOff>180975</xdr:rowOff>
    </xdr:from>
    <xdr:to>
      <xdr:col>4</xdr:col>
      <xdr:colOff>600075</xdr:colOff>
      <xdr:row>597</xdr:row>
      <xdr:rowOff>66675</xdr:rowOff>
    </xdr:to>
    <xdr:sp macro="" textlink="">
      <xdr:nvSpPr>
        <xdr:cNvPr id="1035" name="Line 106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 flipH="1">
          <a:off x="302895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647700</xdr:colOff>
      <xdr:row>596</xdr:row>
      <xdr:rowOff>180975</xdr:rowOff>
    </xdr:from>
    <xdr:to>
      <xdr:col>5</xdr:col>
      <xdr:colOff>9525</xdr:colOff>
      <xdr:row>597</xdr:row>
      <xdr:rowOff>66675</xdr:rowOff>
    </xdr:to>
    <xdr:sp macro="" textlink="">
      <xdr:nvSpPr>
        <xdr:cNvPr id="1036" name="Line 106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3143250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596</xdr:row>
      <xdr:rowOff>180975</xdr:rowOff>
    </xdr:from>
    <xdr:to>
      <xdr:col>5</xdr:col>
      <xdr:colOff>114300</xdr:colOff>
      <xdr:row>597</xdr:row>
      <xdr:rowOff>66675</xdr:rowOff>
    </xdr:to>
    <xdr:sp macro="" textlink="">
      <xdr:nvSpPr>
        <xdr:cNvPr id="1037" name="Line 106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H="1">
          <a:off x="324802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596</xdr:row>
      <xdr:rowOff>180975</xdr:rowOff>
    </xdr:from>
    <xdr:to>
      <xdr:col>5</xdr:col>
      <xdr:colOff>228600</xdr:colOff>
      <xdr:row>597</xdr:row>
      <xdr:rowOff>66675</xdr:rowOff>
    </xdr:to>
    <xdr:sp macro="" textlink="">
      <xdr:nvSpPr>
        <xdr:cNvPr id="1038" name="Line 106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 flipH="1">
          <a:off x="336232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276225</xdr:colOff>
      <xdr:row>596</xdr:row>
      <xdr:rowOff>190500</xdr:rowOff>
    </xdr:from>
    <xdr:to>
      <xdr:col>5</xdr:col>
      <xdr:colOff>342900</xdr:colOff>
      <xdr:row>597</xdr:row>
      <xdr:rowOff>76200</xdr:rowOff>
    </xdr:to>
    <xdr:sp macro="" textlink="">
      <xdr:nvSpPr>
        <xdr:cNvPr id="1039" name="Line 106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>
          <a:off x="347662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596</xdr:row>
      <xdr:rowOff>180975</xdr:rowOff>
    </xdr:from>
    <xdr:to>
      <xdr:col>5</xdr:col>
      <xdr:colOff>457200</xdr:colOff>
      <xdr:row>597</xdr:row>
      <xdr:rowOff>66675</xdr:rowOff>
    </xdr:to>
    <xdr:sp macro="" textlink="">
      <xdr:nvSpPr>
        <xdr:cNvPr id="1040" name="Line 106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 flipH="1">
          <a:off x="3590925" y="12198667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596</xdr:row>
      <xdr:rowOff>190500</xdr:rowOff>
    </xdr:from>
    <xdr:to>
      <xdr:col>5</xdr:col>
      <xdr:colOff>561975</xdr:colOff>
      <xdr:row>597</xdr:row>
      <xdr:rowOff>76200</xdr:rowOff>
    </xdr:to>
    <xdr:sp macro="" textlink="">
      <xdr:nvSpPr>
        <xdr:cNvPr id="1041" name="Line 107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 flipH="1">
          <a:off x="3695700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596</xdr:row>
      <xdr:rowOff>190500</xdr:rowOff>
    </xdr:from>
    <xdr:to>
      <xdr:col>5</xdr:col>
      <xdr:colOff>666750</xdr:colOff>
      <xdr:row>597</xdr:row>
      <xdr:rowOff>76200</xdr:rowOff>
    </xdr:to>
    <xdr:sp macro="" textlink="">
      <xdr:nvSpPr>
        <xdr:cNvPr id="1042" name="Line 107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 flipH="1">
          <a:off x="380047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695325</xdr:colOff>
      <xdr:row>596</xdr:row>
      <xdr:rowOff>190500</xdr:rowOff>
    </xdr:from>
    <xdr:to>
      <xdr:col>6</xdr:col>
      <xdr:colOff>57150</xdr:colOff>
      <xdr:row>597</xdr:row>
      <xdr:rowOff>76200</xdr:rowOff>
    </xdr:to>
    <xdr:sp macro="" textlink="">
      <xdr:nvSpPr>
        <xdr:cNvPr id="1043" name="Line 107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>
          <a:off x="389572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596</xdr:row>
      <xdr:rowOff>190500</xdr:rowOff>
    </xdr:from>
    <xdr:to>
      <xdr:col>6</xdr:col>
      <xdr:colOff>142875</xdr:colOff>
      <xdr:row>597</xdr:row>
      <xdr:rowOff>76200</xdr:rowOff>
    </xdr:to>
    <xdr:sp macro="" textlink="">
      <xdr:nvSpPr>
        <xdr:cNvPr id="1044" name="Line 107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>
          <a:off x="3981450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596</xdr:row>
      <xdr:rowOff>190500</xdr:rowOff>
    </xdr:from>
    <xdr:to>
      <xdr:col>6</xdr:col>
      <xdr:colOff>247650</xdr:colOff>
      <xdr:row>597</xdr:row>
      <xdr:rowOff>76200</xdr:rowOff>
    </xdr:to>
    <xdr:sp macro="" textlink="">
      <xdr:nvSpPr>
        <xdr:cNvPr id="1045" name="Line 107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 flipH="1">
          <a:off x="408622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596</xdr:row>
      <xdr:rowOff>190500</xdr:rowOff>
    </xdr:from>
    <xdr:to>
      <xdr:col>6</xdr:col>
      <xdr:colOff>361950</xdr:colOff>
      <xdr:row>597</xdr:row>
      <xdr:rowOff>76200</xdr:rowOff>
    </xdr:to>
    <xdr:sp macro="" textlink="">
      <xdr:nvSpPr>
        <xdr:cNvPr id="1046" name="Line 107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 flipH="1">
          <a:off x="420052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400050</xdr:colOff>
      <xdr:row>596</xdr:row>
      <xdr:rowOff>190500</xdr:rowOff>
    </xdr:from>
    <xdr:to>
      <xdr:col>6</xdr:col>
      <xdr:colOff>466725</xdr:colOff>
      <xdr:row>597</xdr:row>
      <xdr:rowOff>76200</xdr:rowOff>
    </xdr:to>
    <xdr:sp macro="" textlink="">
      <xdr:nvSpPr>
        <xdr:cNvPr id="1047" name="Line 107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 flipH="1">
          <a:off x="4305300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596</xdr:row>
      <xdr:rowOff>190500</xdr:rowOff>
    </xdr:from>
    <xdr:to>
      <xdr:col>6</xdr:col>
      <xdr:colOff>571500</xdr:colOff>
      <xdr:row>597</xdr:row>
      <xdr:rowOff>76200</xdr:rowOff>
    </xdr:to>
    <xdr:sp macro="" textlink="">
      <xdr:nvSpPr>
        <xdr:cNvPr id="1048" name="Line 107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 flipH="1">
          <a:off x="4410075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597</xdr:row>
      <xdr:rowOff>0</xdr:rowOff>
    </xdr:from>
    <xdr:to>
      <xdr:col>6</xdr:col>
      <xdr:colOff>676275</xdr:colOff>
      <xdr:row>597</xdr:row>
      <xdr:rowOff>85725</xdr:rowOff>
    </xdr:to>
    <xdr:sp macro="" textlink="">
      <xdr:nvSpPr>
        <xdr:cNvPr id="1049" name="Line 107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 flipH="1">
          <a:off x="4514850" y="12200572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723900</xdr:colOff>
      <xdr:row>596</xdr:row>
      <xdr:rowOff>190500</xdr:rowOff>
    </xdr:from>
    <xdr:to>
      <xdr:col>7</xdr:col>
      <xdr:colOff>19050</xdr:colOff>
      <xdr:row>597</xdr:row>
      <xdr:rowOff>76200</xdr:rowOff>
    </xdr:to>
    <xdr:sp macro="" textlink="">
      <xdr:nvSpPr>
        <xdr:cNvPr id="1050" name="Line 107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 flipH="1">
          <a:off x="4629150" y="121996200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597</xdr:row>
      <xdr:rowOff>0</xdr:rowOff>
    </xdr:from>
    <xdr:to>
      <xdr:col>7</xdr:col>
      <xdr:colOff>114300</xdr:colOff>
      <xdr:row>597</xdr:row>
      <xdr:rowOff>85725</xdr:rowOff>
    </xdr:to>
    <xdr:sp macro="" textlink="">
      <xdr:nvSpPr>
        <xdr:cNvPr id="1051" name="Line 108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 flipH="1">
          <a:off x="4724400" y="122005725"/>
          <a:ext cx="6667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600075</xdr:colOff>
      <xdr:row>595</xdr:row>
      <xdr:rowOff>123825</xdr:rowOff>
    </xdr:from>
    <xdr:to>
      <xdr:col>4</xdr:col>
      <xdr:colOff>619125</xdr:colOff>
      <xdr:row>595</xdr:row>
      <xdr:rowOff>142875</xdr:rowOff>
    </xdr:to>
    <xdr:sp macro="" textlink="">
      <xdr:nvSpPr>
        <xdr:cNvPr id="1052" name="Oval 108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3095625" y="1217295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595</xdr:row>
      <xdr:rowOff>95250</xdr:rowOff>
    </xdr:from>
    <xdr:to>
      <xdr:col>5</xdr:col>
      <xdr:colOff>66675</xdr:colOff>
      <xdr:row>595</xdr:row>
      <xdr:rowOff>114300</xdr:rowOff>
    </xdr:to>
    <xdr:sp macro="" textlink="">
      <xdr:nvSpPr>
        <xdr:cNvPr id="1053" name="Oval 108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3248025" y="1217009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595</xdr:row>
      <xdr:rowOff>104775</xdr:rowOff>
    </xdr:from>
    <xdr:to>
      <xdr:col>5</xdr:col>
      <xdr:colOff>219075</xdr:colOff>
      <xdr:row>595</xdr:row>
      <xdr:rowOff>123825</xdr:rowOff>
    </xdr:to>
    <xdr:sp macro="" textlink="">
      <xdr:nvSpPr>
        <xdr:cNvPr id="1054" name="Oval 108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17104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595</xdr:row>
      <xdr:rowOff>161925</xdr:rowOff>
    </xdr:from>
    <xdr:to>
      <xdr:col>5</xdr:col>
      <xdr:colOff>371475</xdr:colOff>
      <xdr:row>595</xdr:row>
      <xdr:rowOff>180975</xdr:rowOff>
    </xdr:to>
    <xdr:sp macro="" textlink="">
      <xdr:nvSpPr>
        <xdr:cNvPr id="1055" name="Oval 108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3552825" y="1217676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476250</xdr:colOff>
      <xdr:row>596</xdr:row>
      <xdr:rowOff>38100</xdr:rowOff>
    </xdr:from>
    <xdr:to>
      <xdr:col>5</xdr:col>
      <xdr:colOff>495300</xdr:colOff>
      <xdr:row>596</xdr:row>
      <xdr:rowOff>57150</xdr:rowOff>
    </xdr:to>
    <xdr:sp macro="" textlink="">
      <xdr:nvSpPr>
        <xdr:cNvPr id="1056" name="Oval 108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3676650" y="1218438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590550</xdr:colOff>
      <xdr:row>596</xdr:row>
      <xdr:rowOff>114300</xdr:rowOff>
    </xdr:from>
    <xdr:to>
      <xdr:col>5</xdr:col>
      <xdr:colOff>609600</xdr:colOff>
      <xdr:row>596</xdr:row>
      <xdr:rowOff>133350</xdr:rowOff>
    </xdr:to>
    <xdr:sp macro="" textlink="">
      <xdr:nvSpPr>
        <xdr:cNvPr id="1057" name="Oval 108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21920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495300</xdr:colOff>
      <xdr:row>596</xdr:row>
      <xdr:rowOff>28575</xdr:rowOff>
    </xdr:from>
    <xdr:to>
      <xdr:col>4</xdr:col>
      <xdr:colOff>514350</xdr:colOff>
      <xdr:row>596</xdr:row>
      <xdr:rowOff>47625</xdr:rowOff>
    </xdr:to>
    <xdr:sp macro="" textlink="">
      <xdr:nvSpPr>
        <xdr:cNvPr id="1058" name="Oval 108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1218342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409575</xdr:colOff>
      <xdr:row>596</xdr:row>
      <xdr:rowOff>114300</xdr:rowOff>
    </xdr:from>
    <xdr:to>
      <xdr:col>4</xdr:col>
      <xdr:colOff>428625</xdr:colOff>
      <xdr:row>596</xdr:row>
      <xdr:rowOff>133350</xdr:rowOff>
    </xdr:to>
    <xdr:sp macro="" textlink="">
      <xdr:nvSpPr>
        <xdr:cNvPr id="1059" name="Oval 108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2905125" y="1219200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628650</xdr:colOff>
      <xdr:row>596</xdr:row>
      <xdr:rowOff>19050</xdr:rowOff>
    </xdr:from>
    <xdr:to>
      <xdr:col>4</xdr:col>
      <xdr:colOff>647700</xdr:colOff>
      <xdr:row>596</xdr:row>
      <xdr:rowOff>38100</xdr:rowOff>
    </xdr:to>
    <xdr:sp macro="" textlink="">
      <xdr:nvSpPr>
        <xdr:cNvPr id="1060" name="Oval 108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3124200" y="1218247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596</xdr:row>
      <xdr:rowOff>123825</xdr:rowOff>
    </xdr:from>
    <xdr:to>
      <xdr:col>4</xdr:col>
      <xdr:colOff>561975</xdr:colOff>
      <xdr:row>596</xdr:row>
      <xdr:rowOff>142875</xdr:rowOff>
    </xdr:to>
    <xdr:sp macro="" textlink="">
      <xdr:nvSpPr>
        <xdr:cNvPr id="1061" name="Oval 109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3038475" y="121929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596</xdr:row>
      <xdr:rowOff>0</xdr:rowOff>
    </xdr:from>
    <xdr:to>
      <xdr:col>5</xdr:col>
      <xdr:colOff>57150</xdr:colOff>
      <xdr:row>596</xdr:row>
      <xdr:rowOff>19050</xdr:rowOff>
    </xdr:to>
    <xdr:sp macro="" textlink="">
      <xdr:nvSpPr>
        <xdr:cNvPr id="1062" name="Oval 109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3238500" y="12180570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596</xdr:row>
      <xdr:rowOff>9525</xdr:rowOff>
    </xdr:from>
    <xdr:to>
      <xdr:col>5</xdr:col>
      <xdr:colOff>190500</xdr:colOff>
      <xdr:row>596</xdr:row>
      <xdr:rowOff>28575</xdr:rowOff>
    </xdr:to>
    <xdr:sp macro="" textlink="">
      <xdr:nvSpPr>
        <xdr:cNvPr id="1063" name="Oval 109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3371850" y="1218152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596</xdr:row>
      <xdr:rowOff>57150</xdr:rowOff>
    </xdr:from>
    <xdr:to>
      <xdr:col>5</xdr:col>
      <xdr:colOff>342900</xdr:colOff>
      <xdr:row>596</xdr:row>
      <xdr:rowOff>76200</xdr:rowOff>
    </xdr:to>
    <xdr:sp macro="" textlink="">
      <xdr:nvSpPr>
        <xdr:cNvPr id="1064" name="Oval 109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1218628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438150</xdr:colOff>
      <xdr:row>596</xdr:row>
      <xdr:rowOff>123825</xdr:rowOff>
    </xdr:from>
    <xdr:to>
      <xdr:col>5</xdr:col>
      <xdr:colOff>457200</xdr:colOff>
      <xdr:row>596</xdr:row>
      <xdr:rowOff>142875</xdr:rowOff>
    </xdr:to>
    <xdr:sp macro="" textlink="">
      <xdr:nvSpPr>
        <xdr:cNvPr id="1065" name="Oval 109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3638550" y="12192952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596</xdr:row>
      <xdr:rowOff>95250</xdr:rowOff>
    </xdr:from>
    <xdr:to>
      <xdr:col>5</xdr:col>
      <xdr:colOff>9525</xdr:colOff>
      <xdr:row>596</xdr:row>
      <xdr:rowOff>114300</xdr:rowOff>
    </xdr:to>
    <xdr:sp macro="" textlink="">
      <xdr:nvSpPr>
        <xdr:cNvPr id="1066" name="Oval 109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3190875" y="121900950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596</xdr:row>
      <xdr:rowOff>104775</xdr:rowOff>
    </xdr:from>
    <xdr:to>
      <xdr:col>5</xdr:col>
      <xdr:colOff>152400</xdr:colOff>
      <xdr:row>596</xdr:row>
      <xdr:rowOff>123825</xdr:rowOff>
    </xdr:to>
    <xdr:sp macro="" textlink="">
      <xdr:nvSpPr>
        <xdr:cNvPr id="1067" name="Oval 109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3333750" y="121910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596</xdr:row>
      <xdr:rowOff>104775</xdr:rowOff>
    </xdr:from>
    <xdr:to>
      <xdr:col>5</xdr:col>
      <xdr:colOff>266700</xdr:colOff>
      <xdr:row>596</xdr:row>
      <xdr:rowOff>123825</xdr:rowOff>
    </xdr:to>
    <xdr:sp macro="" textlink="">
      <xdr:nvSpPr>
        <xdr:cNvPr id="1068" name="Oval 109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3448050" y="121910475"/>
          <a:ext cx="19050" cy="190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666750</xdr:colOff>
      <xdr:row>595</xdr:row>
      <xdr:rowOff>123825</xdr:rowOff>
    </xdr:from>
    <xdr:to>
      <xdr:col>5</xdr:col>
      <xdr:colOff>0</xdr:colOff>
      <xdr:row>595</xdr:row>
      <xdr:rowOff>161925</xdr:rowOff>
    </xdr:to>
    <xdr:sp macro="" textlink="">
      <xdr:nvSpPr>
        <xdr:cNvPr id="1069" name="AutoShape 109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3162300" y="12172950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595</xdr:row>
      <xdr:rowOff>142875</xdr:rowOff>
    </xdr:from>
    <xdr:to>
      <xdr:col>5</xdr:col>
      <xdr:colOff>142875</xdr:colOff>
      <xdr:row>595</xdr:row>
      <xdr:rowOff>180975</xdr:rowOff>
    </xdr:to>
    <xdr:sp macro="" textlink="">
      <xdr:nvSpPr>
        <xdr:cNvPr id="1070" name="AutoShape 109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3305175" y="12174855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595</xdr:row>
      <xdr:rowOff>171450</xdr:rowOff>
    </xdr:from>
    <xdr:to>
      <xdr:col>5</xdr:col>
      <xdr:colOff>285750</xdr:colOff>
      <xdr:row>596</xdr:row>
      <xdr:rowOff>9525</xdr:rowOff>
    </xdr:to>
    <xdr:sp macro="" textlink="">
      <xdr:nvSpPr>
        <xdr:cNvPr id="1071" name="AutoShape 110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3448050" y="12177712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390525</xdr:colOff>
      <xdr:row>596</xdr:row>
      <xdr:rowOff>38100</xdr:rowOff>
    </xdr:from>
    <xdr:to>
      <xdr:col>5</xdr:col>
      <xdr:colOff>428625</xdr:colOff>
      <xdr:row>596</xdr:row>
      <xdr:rowOff>76200</xdr:rowOff>
    </xdr:to>
    <xdr:sp macro="" textlink="">
      <xdr:nvSpPr>
        <xdr:cNvPr id="1072" name="AutoShape 110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2184380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523875</xdr:colOff>
      <xdr:row>596</xdr:row>
      <xdr:rowOff>95250</xdr:rowOff>
    </xdr:from>
    <xdr:to>
      <xdr:col>5</xdr:col>
      <xdr:colOff>561975</xdr:colOff>
      <xdr:row>596</xdr:row>
      <xdr:rowOff>133350</xdr:rowOff>
    </xdr:to>
    <xdr:sp macro="" textlink="">
      <xdr:nvSpPr>
        <xdr:cNvPr id="1073" name="AutoShape 110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2190095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595</xdr:row>
      <xdr:rowOff>76200</xdr:rowOff>
    </xdr:from>
    <xdr:to>
      <xdr:col>5</xdr:col>
      <xdr:colOff>304800</xdr:colOff>
      <xdr:row>595</xdr:row>
      <xdr:rowOff>114300</xdr:rowOff>
    </xdr:to>
    <xdr:sp macro="" textlink="">
      <xdr:nvSpPr>
        <xdr:cNvPr id="1074" name="AutoShape 110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3467100" y="12168187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638175</xdr:colOff>
      <xdr:row>595</xdr:row>
      <xdr:rowOff>66675</xdr:rowOff>
    </xdr:from>
    <xdr:to>
      <xdr:col>4</xdr:col>
      <xdr:colOff>676275</xdr:colOff>
      <xdr:row>595</xdr:row>
      <xdr:rowOff>104775</xdr:rowOff>
    </xdr:to>
    <xdr:sp macro="" textlink="">
      <xdr:nvSpPr>
        <xdr:cNvPr id="1075" name="AutoShape 110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3133725" y="12167235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676275</xdr:colOff>
      <xdr:row>596</xdr:row>
      <xdr:rowOff>19050</xdr:rowOff>
    </xdr:from>
    <xdr:to>
      <xdr:col>5</xdr:col>
      <xdr:colOff>9525</xdr:colOff>
      <xdr:row>596</xdr:row>
      <xdr:rowOff>57150</xdr:rowOff>
    </xdr:to>
    <xdr:sp macro="" textlink="">
      <xdr:nvSpPr>
        <xdr:cNvPr id="1076" name="AutoShape 110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2182475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200025</xdr:colOff>
      <xdr:row>596</xdr:row>
      <xdr:rowOff>28575</xdr:rowOff>
    </xdr:from>
    <xdr:to>
      <xdr:col>5</xdr:col>
      <xdr:colOff>238125</xdr:colOff>
      <xdr:row>596</xdr:row>
      <xdr:rowOff>66675</xdr:rowOff>
    </xdr:to>
    <xdr:sp macro="" textlink="">
      <xdr:nvSpPr>
        <xdr:cNvPr id="1077" name="AutoShape 110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183427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596</xdr:row>
      <xdr:rowOff>47625</xdr:rowOff>
    </xdr:from>
    <xdr:to>
      <xdr:col>5</xdr:col>
      <xdr:colOff>104775</xdr:colOff>
      <xdr:row>596</xdr:row>
      <xdr:rowOff>85725</xdr:rowOff>
    </xdr:to>
    <xdr:sp macro="" textlink="">
      <xdr:nvSpPr>
        <xdr:cNvPr id="1078" name="AutoShape 110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2185332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542925</xdr:colOff>
      <xdr:row>595</xdr:row>
      <xdr:rowOff>161925</xdr:rowOff>
    </xdr:from>
    <xdr:to>
      <xdr:col>4</xdr:col>
      <xdr:colOff>581025</xdr:colOff>
      <xdr:row>596</xdr:row>
      <xdr:rowOff>0</xdr:rowOff>
    </xdr:to>
    <xdr:sp macro="" textlink="">
      <xdr:nvSpPr>
        <xdr:cNvPr id="1079" name="AutoShape 110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3038475" y="121767600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561975</xdr:colOff>
      <xdr:row>596</xdr:row>
      <xdr:rowOff>47625</xdr:rowOff>
    </xdr:from>
    <xdr:to>
      <xdr:col>4</xdr:col>
      <xdr:colOff>600075</xdr:colOff>
      <xdr:row>596</xdr:row>
      <xdr:rowOff>85725</xdr:rowOff>
    </xdr:to>
    <xdr:sp macro="" textlink="">
      <xdr:nvSpPr>
        <xdr:cNvPr id="1080" name="AutoShape 110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3057525" y="12185332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596</xdr:row>
      <xdr:rowOff>104775</xdr:rowOff>
    </xdr:from>
    <xdr:to>
      <xdr:col>5</xdr:col>
      <xdr:colOff>361950</xdr:colOff>
      <xdr:row>596</xdr:row>
      <xdr:rowOff>142875</xdr:rowOff>
    </xdr:to>
    <xdr:sp macro="" textlink="">
      <xdr:nvSpPr>
        <xdr:cNvPr id="1081" name="AutoShape 111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12191047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596</xdr:row>
      <xdr:rowOff>85725</xdr:rowOff>
    </xdr:from>
    <xdr:to>
      <xdr:col>4</xdr:col>
      <xdr:colOff>504825</xdr:colOff>
      <xdr:row>596</xdr:row>
      <xdr:rowOff>123825</xdr:rowOff>
    </xdr:to>
    <xdr:sp macro="" textlink="">
      <xdr:nvSpPr>
        <xdr:cNvPr id="1082" name="AutoShape 111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121891425"/>
          <a:ext cx="38100" cy="381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656</xdr:row>
      <xdr:rowOff>123825</xdr:rowOff>
    </xdr:from>
    <xdr:to>
      <xdr:col>7</xdr:col>
      <xdr:colOff>180975</xdr:colOff>
      <xdr:row>664</xdr:row>
      <xdr:rowOff>123825</xdr:rowOff>
    </xdr:to>
    <xdr:grpSp>
      <xdr:nvGrpSpPr>
        <xdr:cNvPr id="1085" name="Group 114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GrpSpPr>
          <a:grpSpLocks/>
        </xdr:cNvGrpSpPr>
      </xdr:nvGrpSpPr>
      <xdr:grpSpPr bwMode="auto">
        <a:xfrm>
          <a:off x="914400" y="147599400"/>
          <a:ext cx="4743450" cy="1600200"/>
          <a:chOff x="78" y="14096"/>
          <a:chExt cx="437" cy="168"/>
        </a:xfrm>
      </xdr:grpSpPr>
      <xdr:grpSp>
        <xdr:nvGrpSpPr>
          <xdr:cNvPr id="1086" name="Group 1150">
            <a:extLst>
              <a:ext uri="{FF2B5EF4-FFF2-40B4-BE49-F238E27FC236}">
                <a16:creationId xmlns:a16="http://schemas.microsoft.com/office/drawing/2014/main" id="{00000000-0008-0000-0000-00003E040000}"/>
              </a:ext>
            </a:extLst>
          </xdr:cNvPr>
          <xdr:cNvGrpSpPr>
            <a:grpSpLocks/>
          </xdr:cNvGrpSpPr>
        </xdr:nvGrpSpPr>
        <xdr:grpSpPr bwMode="auto">
          <a:xfrm>
            <a:off x="78" y="14096"/>
            <a:ext cx="437" cy="168"/>
            <a:chOff x="114" y="17307"/>
            <a:chExt cx="469" cy="169"/>
          </a:xfrm>
        </xdr:grpSpPr>
        <xdr:sp macro="" textlink="">
          <xdr:nvSpPr>
            <xdr:cNvPr id="1088" name="Rectangle 1151">
              <a:extLs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4" y="17307"/>
              <a:ext cx="469" cy="16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89" name="Line 1152">
              <a:extLs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17380"/>
              <a:ext cx="242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0" name="Line 1153">
              <a:extLs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0" y="17380"/>
              <a:ext cx="0" cy="7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1" name="Line 1154">
              <a:extLs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4" y="17315"/>
              <a:ext cx="0" cy="65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2" name="Line 1155">
              <a:extLs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9" y="17329"/>
              <a:ext cx="75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3" name="Line 1156">
              <a:extLs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8" y="17328"/>
              <a:ext cx="0" cy="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stealth" w="sm" len="sm"/>
              <a:tailEnd type="stealth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4" name="Line 1157">
              <a:extLs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7" y="17396"/>
              <a:ext cx="0" cy="1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5" name="Line 1158">
              <a:extLs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7" y="17404"/>
              <a:ext cx="8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stealth" w="sm" len="sm"/>
              <a:tailEnd type="stealth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6" name="Line 1159">
              <a:extLs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0" y="17450"/>
              <a:ext cx="24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7" name="Line 1160">
              <a:extLs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21" y="17380"/>
              <a:ext cx="0" cy="7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stealth" w="sm" len="sm"/>
              <a:tailEnd type="stealth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8" name="Line 1161">
              <a:extLs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16" y="17357"/>
              <a:ext cx="0" cy="1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9" name="Line 1162">
              <a:extLs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457" y="17353"/>
              <a:ext cx="0" cy="1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0" name="Line 1163">
              <a:extLs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16" y="17365"/>
              <a:ext cx="24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triangle" w="sm" len="lg"/>
              <a:tailEnd type="triangl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1" name="Text Box 1164">
              <a:extLs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6" y="17345"/>
              <a:ext cx="15" cy="18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b</a:t>
              </a:r>
            </a:p>
          </xdr:txBody>
        </xdr:sp>
        <xdr:sp macro="" textlink="">
          <xdr:nvSpPr>
            <xdr:cNvPr id="1102" name="Text Box 1165">
              <a:extLs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6" y="17412"/>
              <a:ext cx="15" cy="2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d</a:t>
              </a:r>
            </a:p>
          </xdr:txBody>
        </xdr:sp>
        <xdr:sp macro="" textlink="">
          <xdr:nvSpPr>
            <xdr:cNvPr id="1103" name="Text Box 1166">
              <a:extLs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6" y="17406"/>
              <a:ext cx="29" cy="2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b</a:t>
              </a:r>
              <a:r>
                <a:rPr lang="en-US" sz="1000" b="0" i="0" strike="noStrike" baseline="-25000">
                  <a:solidFill>
                    <a:srgbClr val="000000"/>
                  </a:solidFill>
                  <a:latin typeface="Book Antiqua"/>
                </a:rPr>
                <a:t>1</a:t>
              </a:r>
            </a:p>
          </xdr:txBody>
        </xdr:sp>
        <xdr:sp macro="" textlink="">
          <xdr:nvSpPr>
            <xdr:cNvPr id="1104" name="Text Box 1167">
              <a:extLs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5" y="17333"/>
              <a:ext cx="16" cy="17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H</a:t>
              </a:r>
            </a:p>
          </xdr:txBody>
        </xdr:sp>
        <xdr:sp macro="" textlink="">
          <xdr:nvSpPr>
            <xdr:cNvPr id="1105" name="Text Box 1168">
              <a:extLs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0" y="17382"/>
              <a:ext cx="17" cy="9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E</a:t>
              </a:r>
            </a:p>
          </xdr:txBody>
        </xdr:sp>
        <xdr:sp macro="" textlink="">
          <xdr:nvSpPr>
            <xdr:cNvPr id="1106" name="Text Box 1169">
              <a:extLs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1" y="17451"/>
              <a:ext cx="20" cy="18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D</a:t>
              </a:r>
            </a:p>
          </xdr:txBody>
        </xdr:sp>
        <xdr:sp macro="" textlink="">
          <xdr:nvSpPr>
            <xdr:cNvPr id="1107" name="Text Box 1170">
              <a:extLs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4" y="17382"/>
              <a:ext cx="15" cy="1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C</a:t>
              </a:r>
            </a:p>
          </xdr:txBody>
        </xdr:sp>
        <xdr:sp macro="" textlink="">
          <xdr:nvSpPr>
            <xdr:cNvPr id="1108" name="Text Box 1171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2" y="17404"/>
              <a:ext cx="54" cy="2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1">
                <a:defRPr sz="1000"/>
              </a:pPr>
              <a:r>
                <a:rPr lang="el-GR" sz="1000" b="0" i="0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t>α = </a:t>
              </a:r>
              <a:r>
                <a:rPr lang="en-US" sz="1000" b="0" i="0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t>b/d</a:t>
              </a:r>
            </a:p>
          </xdr:txBody>
        </xdr:sp>
      </xdr:grpSp>
      <xdr:sp macro="" textlink="">
        <xdr:nvSpPr>
          <xdr:cNvPr id="1087" name="Text Box 1172">
            <a:extLst>
              <a:ext uri="{FF2B5EF4-FFF2-40B4-BE49-F238E27FC236}">
                <a16:creationId xmlns:a16="http://schemas.microsoft.com/office/drawing/2014/main" id="{00000000-0008-0000-0000-00003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" y="14232"/>
            <a:ext cx="181" cy="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Parmeters of Khosla's Curve</a:t>
            </a:r>
          </a:p>
        </xdr:txBody>
      </xdr:sp>
    </xdr:grpSp>
    <xdr:clientData/>
  </xdr:twoCellAnchor>
  <xdr:twoCellAnchor>
    <xdr:from>
      <xdr:col>1</xdr:col>
      <xdr:colOff>333375</xdr:colOff>
      <xdr:row>845</xdr:row>
      <xdr:rowOff>95250</xdr:rowOff>
    </xdr:from>
    <xdr:to>
      <xdr:col>6</xdr:col>
      <xdr:colOff>438150</xdr:colOff>
      <xdr:row>859</xdr:row>
      <xdr:rowOff>28575</xdr:rowOff>
    </xdr:to>
    <xdr:grpSp>
      <xdr:nvGrpSpPr>
        <xdr:cNvPr id="1109" name="Group 1176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GrpSpPr>
          <a:grpSpLocks/>
        </xdr:cNvGrpSpPr>
      </xdr:nvGrpSpPr>
      <xdr:grpSpPr bwMode="auto">
        <a:xfrm>
          <a:off x="857250" y="185966100"/>
          <a:ext cx="4286250" cy="2733675"/>
          <a:chOff x="72" y="18153"/>
          <a:chExt cx="389" cy="287"/>
        </a:xfrm>
      </xdr:grpSpPr>
      <xdr:grpSp>
        <xdr:nvGrpSpPr>
          <xdr:cNvPr id="1110" name="Group 1177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GrpSpPr>
            <a:grpSpLocks/>
          </xdr:cNvGrpSpPr>
        </xdr:nvGrpSpPr>
        <xdr:grpSpPr bwMode="auto">
          <a:xfrm>
            <a:off x="72" y="18153"/>
            <a:ext cx="389" cy="287"/>
            <a:chOff x="100" y="18155"/>
            <a:chExt cx="389" cy="287"/>
          </a:xfrm>
        </xdr:grpSpPr>
        <xdr:grpSp>
          <xdr:nvGrpSpPr>
            <xdr:cNvPr id="1115" name="Group 1178">
              <a:extLs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0" y="18155"/>
              <a:ext cx="389" cy="287"/>
              <a:chOff x="100" y="18155"/>
              <a:chExt cx="389" cy="287"/>
            </a:xfrm>
          </xdr:grpSpPr>
          <xdr:sp macro="" textlink="">
            <xdr:nvSpPr>
              <xdr:cNvPr id="1122" name="Rectangle 1179">
                <a:extLs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" y="18155"/>
                <a:ext cx="389" cy="287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123" name="Line 1180">
                <a:extLs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0" y="18201"/>
                <a:ext cx="64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4" name="Line 1181">
                <a:extLs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83" y="18201"/>
                <a:ext cx="39" cy="2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5" name="Line 1182">
                <a:extLs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84" y="18201"/>
                <a:ext cx="70" cy="6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6" name="Line 1183">
                <a:extLs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2" y="18263"/>
                <a:ext cx="10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7" name="Line 1184">
                <a:extLs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50" y="18160"/>
                <a:ext cx="0" cy="4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8" name="Line 1185">
                <a:extLs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2" y="18226"/>
                <a:ext cx="7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29" name="Line 1186">
                <a:extLs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1" y="18226"/>
                <a:ext cx="0" cy="43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0" name="Line 1187">
                <a:extLs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3" y="18264"/>
                <a:ext cx="0" cy="3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1" name="Line 1188">
                <a:extLs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58" y="18263"/>
                <a:ext cx="0" cy="4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2" name="Line 1189">
                <a:extLs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2" y="18310"/>
                <a:ext cx="17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3" name="Line 1190">
                <a:extLs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1" y="18310"/>
                <a:ext cx="0" cy="7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4" name="Line 1191">
                <a:extLs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3" y="18311"/>
                <a:ext cx="0" cy="3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5" name="Line 1192">
                <a:extLs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81" y="18350"/>
                <a:ext cx="173" cy="3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6" name="Line 1193">
                <a:extLs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52" y="18309"/>
                <a:ext cx="1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7" name="Line 1194">
                <a:extLs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54" y="18382"/>
                <a:ext cx="16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8" name="Line 1195">
                <a:extLs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61" y="18309"/>
                <a:ext cx="0" cy="7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 type="triangle" w="sm" len="sm"/>
                <a:tailEnd type="triangl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39" name="Line 1196">
                <a:extLs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61" y="18310"/>
                <a:ext cx="29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0" name="Line 1197">
                <a:extLs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64" y="18350"/>
                <a:ext cx="2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1" name="Line 1198">
                <a:extLs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76" y="18310"/>
                <a:ext cx="0" cy="3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 type="triangle" w="sm" len="sm"/>
                <a:tailEnd type="triangl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2" name="Line 1199">
                <a:extLs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84" y="18214"/>
                <a:ext cx="0" cy="1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43" name="Line 1200">
                <a:extLs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84" y="18310"/>
                <a:ext cx="0" cy="51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1116" name="Text Box 1201">
              <a:extLs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9" y="18224"/>
              <a:ext cx="22" cy="2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K</a:t>
              </a:r>
            </a:p>
          </xdr:txBody>
        </xdr:sp>
        <xdr:sp macro="" textlink="">
          <xdr:nvSpPr>
            <xdr:cNvPr id="1117" name="Text Box 1202">
              <a:extLs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5" y="18264"/>
              <a:ext cx="16" cy="16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L</a:t>
              </a:r>
            </a:p>
          </xdr:txBody>
        </xdr:sp>
        <xdr:sp macro="" textlink="">
          <xdr:nvSpPr>
            <xdr:cNvPr id="1118" name="Text Box 1205">
              <a:extLs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3" y="18370"/>
              <a:ext cx="109" cy="2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Book Antiqua"/>
                </a:rPr>
                <a:t>Pressure at crest</a:t>
              </a:r>
            </a:p>
          </xdr:txBody>
        </xdr:sp>
        <xdr:sp macro="" textlink="">
          <xdr:nvSpPr>
            <xdr:cNvPr id="1119" name="Line 1206">
              <a:extLs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285" y="18337"/>
              <a:ext cx="47" cy="4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stealth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0" name="Line 1207">
              <a:extLs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84" y="18286"/>
              <a:ext cx="6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1" name="Text Box 1208">
              <a:extLs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3" y="18275"/>
              <a:ext cx="13" cy="17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32004" rIns="0" bIns="0" anchor="t" upright="1"/>
            <a:lstStyle/>
            <a:p>
              <a:pPr algn="l" rtl="1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Book Antiqua"/>
                </a:rPr>
                <a:t>x</a:t>
              </a:r>
            </a:p>
          </xdr:txBody>
        </xdr:sp>
      </xdr:grpSp>
      <xdr:sp macro="" textlink="">
        <xdr:nvSpPr>
          <xdr:cNvPr id="1111" name="Line 1209">
            <a:extLst>
              <a:ext uri="{FF2B5EF4-FFF2-40B4-BE49-F238E27FC236}">
                <a16:creationId xmlns:a16="http://schemas.microsoft.com/office/drawing/2014/main" id="{00000000-0008-0000-0000-000057040000}"/>
              </a:ext>
            </a:extLst>
          </xdr:cNvPr>
          <xdr:cNvSpPr>
            <a:spLocks noChangeShapeType="1"/>
          </xdr:cNvSpPr>
        </xdr:nvSpPr>
        <xdr:spPr bwMode="auto">
          <a:xfrm>
            <a:off x="153" y="18390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2" name="Line 1210">
            <a:extLst>
              <a:ext uri="{FF2B5EF4-FFF2-40B4-BE49-F238E27FC236}">
                <a16:creationId xmlns:a16="http://schemas.microsoft.com/office/drawing/2014/main" id="{00000000-0008-0000-0000-000058040000}"/>
              </a:ext>
            </a:extLst>
          </xdr:cNvPr>
          <xdr:cNvSpPr>
            <a:spLocks noChangeShapeType="1"/>
          </xdr:cNvSpPr>
        </xdr:nvSpPr>
        <xdr:spPr bwMode="auto">
          <a:xfrm>
            <a:off x="326" y="18386"/>
            <a:ext cx="0" cy="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3" name="Line 1211">
            <a:extLst>
              <a:ext uri="{FF2B5EF4-FFF2-40B4-BE49-F238E27FC236}">
                <a16:creationId xmlns:a16="http://schemas.microsoft.com/office/drawing/2014/main" id="{00000000-0008-0000-0000-000059040000}"/>
              </a:ext>
            </a:extLst>
          </xdr:cNvPr>
          <xdr:cNvSpPr>
            <a:spLocks noChangeShapeType="1"/>
          </xdr:cNvSpPr>
        </xdr:nvSpPr>
        <xdr:spPr bwMode="auto">
          <a:xfrm>
            <a:off x="153" y="18400"/>
            <a:ext cx="17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stealth" w="med" len="med"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4" name="Text Box 1212">
            <a:extLst>
              <a:ext uri="{FF2B5EF4-FFF2-40B4-BE49-F238E27FC236}">
                <a16:creationId xmlns:a16="http://schemas.microsoft.com/office/drawing/2014/main" id="{00000000-0008-0000-0000-00005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" y="18402"/>
            <a:ext cx="17" cy="2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Book Antiqua"/>
              </a:rPr>
              <a:t>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506</xdr:row>
          <xdr:rowOff>0</xdr:rowOff>
        </xdr:from>
        <xdr:to>
          <xdr:col>4</xdr:col>
          <xdr:colOff>657225</xdr:colOff>
          <xdr:row>508</xdr:row>
          <xdr:rowOff>85725</xdr:rowOff>
        </xdr:to>
        <xdr:sp macro="" textlink="">
          <xdr:nvSpPr>
            <xdr:cNvPr id="2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587</xdr:row>
          <xdr:rowOff>76200</xdr:rowOff>
        </xdr:from>
        <xdr:to>
          <xdr:col>5</xdr:col>
          <xdr:colOff>9525</xdr:colOff>
          <xdr:row>589</xdr:row>
          <xdr:rowOff>161925</xdr:rowOff>
        </xdr:to>
        <xdr:sp macro="" textlink="">
          <xdr:nvSpPr>
            <xdr:cNvPr id="3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608</xdr:row>
          <xdr:rowOff>9525</xdr:rowOff>
        </xdr:from>
        <xdr:to>
          <xdr:col>4</xdr:col>
          <xdr:colOff>619125</xdr:colOff>
          <xdr:row>609</xdr:row>
          <xdr:rowOff>180975</xdr:rowOff>
        </xdr:to>
        <xdr:sp macro="" textlink="">
          <xdr:nvSpPr>
            <xdr:cNvPr id="4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608</xdr:row>
          <xdr:rowOff>9525</xdr:rowOff>
        </xdr:from>
        <xdr:to>
          <xdr:col>6</xdr:col>
          <xdr:colOff>628650</xdr:colOff>
          <xdr:row>609</xdr:row>
          <xdr:rowOff>180975</xdr:rowOff>
        </xdr:to>
        <xdr:sp macro="" textlink="">
          <xdr:nvSpPr>
            <xdr:cNvPr id="5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608</xdr:row>
          <xdr:rowOff>9525</xdr:rowOff>
        </xdr:from>
        <xdr:to>
          <xdr:col>7</xdr:col>
          <xdr:colOff>590550</xdr:colOff>
          <xdr:row>609</xdr:row>
          <xdr:rowOff>180975</xdr:rowOff>
        </xdr:to>
        <xdr:sp macro="" textlink="">
          <xdr:nvSpPr>
            <xdr:cNvPr id="6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608</xdr:row>
          <xdr:rowOff>19050</xdr:rowOff>
        </xdr:from>
        <xdr:to>
          <xdr:col>8</xdr:col>
          <xdr:colOff>581025</xdr:colOff>
          <xdr:row>610</xdr:row>
          <xdr:rowOff>38100</xdr:rowOff>
        </xdr:to>
        <xdr:sp macro="" textlink="">
          <xdr:nvSpPr>
            <xdr:cNvPr id="7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608</xdr:row>
          <xdr:rowOff>9525</xdr:rowOff>
        </xdr:from>
        <xdr:to>
          <xdr:col>9</xdr:col>
          <xdr:colOff>609600</xdr:colOff>
          <xdr:row>610</xdr:row>
          <xdr:rowOff>28575</xdr:rowOff>
        </xdr:to>
        <xdr:sp macro="" textlink="">
          <xdr:nvSpPr>
            <xdr:cNvPr id="8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607</xdr:row>
          <xdr:rowOff>190500</xdr:rowOff>
        </xdr:from>
        <xdr:to>
          <xdr:col>5</xdr:col>
          <xdr:colOff>581025</xdr:colOff>
          <xdr:row>610</xdr:row>
          <xdr:rowOff>0</xdr:rowOff>
        </xdr:to>
        <xdr:sp macro="" textlink="">
          <xdr:nvSpPr>
            <xdr:cNvPr id="9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608</xdr:row>
          <xdr:rowOff>66675</xdr:rowOff>
        </xdr:from>
        <xdr:to>
          <xdr:col>10</xdr:col>
          <xdr:colOff>714375</xdr:colOff>
          <xdr:row>609</xdr:row>
          <xdr:rowOff>47625</xdr:rowOff>
        </xdr:to>
        <xdr:sp macro="" textlink="">
          <xdr:nvSpPr>
            <xdr:cNvPr id="10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653</xdr:row>
          <xdr:rowOff>9525</xdr:rowOff>
        </xdr:from>
        <xdr:to>
          <xdr:col>4</xdr:col>
          <xdr:colOff>533400</xdr:colOff>
          <xdr:row>656</xdr:row>
          <xdr:rowOff>9525</xdr:rowOff>
        </xdr:to>
        <xdr:sp macro="" textlink="">
          <xdr:nvSpPr>
            <xdr:cNvPr id="11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673</xdr:row>
          <xdr:rowOff>0</xdr:rowOff>
        </xdr:from>
        <xdr:to>
          <xdr:col>1</xdr:col>
          <xdr:colOff>114300</xdr:colOff>
          <xdr:row>674</xdr:row>
          <xdr:rowOff>19050</xdr:rowOff>
        </xdr:to>
        <xdr:sp macro="" textlink="">
          <xdr:nvSpPr>
            <xdr:cNvPr id="12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673</xdr:row>
          <xdr:rowOff>219075</xdr:rowOff>
        </xdr:from>
        <xdr:to>
          <xdr:col>1</xdr:col>
          <xdr:colOff>361950</xdr:colOff>
          <xdr:row>675</xdr:row>
          <xdr:rowOff>152400</xdr:rowOff>
        </xdr:to>
        <xdr:sp macro="" textlink="">
          <xdr:nvSpPr>
            <xdr:cNvPr id="13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673</xdr:row>
          <xdr:rowOff>209550</xdr:rowOff>
        </xdr:from>
        <xdr:to>
          <xdr:col>2</xdr:col>
          <xdr:colOff>676275</xdr:colOff>
          <xdr:row>675</xdr:row>
          <xdr:rowOff>142875</xdr:rowOff>
        </xdr:to>
        <xdr:sp macro="" textlink="">
          <xdr:nvSpPr>
            <xdr:cNvPr id="14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691</xdr:row>
          <xdr:rowOff>190500</xdr:rowOff>
        </xdr:from>
        <xdr:to>
          <xdr:col>1</xdr:col>
          <xdr:colOff>257175</xdr:colOff>
          <xdr:row>693</xdr:row>
          <xdr:rowOff>28575</xdr:rowOff>
        </xdr:to>
        <xdr:sp macro="" textlink="">
          <xdr:nvSpPr>
            <xdr:cNvPr id="15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690</xdr:row>
          <xdr:rowOff>228600</xdr:rowOff>
        </xdr:from>
        <xdr:to>
          <xdr:col>1</xdr:col>
          <xdr:colOff>247650</xdr:colOff>
          <xdr:row>692</xdr:row>
          <xdr:rowOff>28575</xdr:rowOff>
        </xdr:to>
        <xdr:sp macro="" textlink="">
          <xdr:nvSpPr>
            <xdr:cNvPr id="16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693</xdr:row>
          <xdr:rowOff>0</xdr:rowOff>
        </xdr:from>
        <xdr:to>
          <xdr:col>1</xdr:col>
          <xdr:colOff>238125</xdr:colOff>
          <xdr:row>694</xdr:row>
          <xdr:rowOff>9525</xdr:rowOff>
        </xdr:to>
        <xdr:sp macro="" textlink="">
          <xdr:nvSpPr>
            <xdr:cNvPr id="17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692</xdr:row>
          <xdr:rowOff>0</xdr:rowOff>
        </xdr:from>
        <xdr:to>
          <xdr:col>1</xdr:col>
          <xdr:colOff>714375</xdr:colOff>
          <xdr:row>693</xdr:row>
          <xdr:rowOff>19050</xdr:rowOff>
        </xdr:to>
        <xdr:sp macro="" textlink="">
          <xdr:nvSpPr>
            <xdr:cNvPr id="18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476250</xdr:colOff>
          <xdr:row>693</xdr:row>
          <xdr:rowOff>19050</xdr:rowOff>
        </xdr:from>
        <xdr:to>
          <xdr:col>1</xdr:col>
          <xdr:colOff>714375</xdr:colOff>
          <xdr:row>693</xdr:row>
          <xdr:rowOff>180975</xdr:rowOff>
        </xdr:to>
        <xdr:sp macro="" textlink="">
          <xdr:nvSpPr>
            <xdr:cNvPr id="19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466725</xdr:colOff>
          <xdr:row>691</xdr:row>
          <xdr:rowOff>0</xdr:rowOff>
        </xdr:from>
        <xdr:to>
          <xdr:col>1</xdr:col>
          <xdr:colOff>723900</xdr:colOff>
          <xdr:row>692</xdr:row>
          <xdr:rowOff>19050</xdr:rowOff>
        </xdr:to>
        <xdr:sp macro="" textlink="">
          <xdr:nvSpPr>
            <xdr:cNvPr id="20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895350</xdr:colOff>
          <xdr:row>696</xdr:row>
          <xdr:rowOff>95250</xdr:rowOff>
        </xdr:from>
        <xdr:to>
          <xdr:col>3</xdr:col>
          <xdr:colOff>504825</xdr:colOff>
          <xdr:row>698</xdr:row>
          <xdr:rowOff>114300</xdr:rowOff>
        </xdr:to>
        <xdr:sp macro="" textlink="">
          <xdr:nvSpPr>
            <xdr:cNvPr id="21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876300</xdr:colOff>
          <xdr:row>698</xdr:row>
          <xdr:rowOff>95250</xdr:rowOff>
        </xdr:from>
        <xdr:to>
          <xdr:col>3</xdr:col>
          <xdr:colOff>457200</xdr:colOff>
          <xdr:row>700</xdr:row>
          <xdr:rowOff>114300</xdr:rowOff>
        </xdr:to>
        <xdr:sp macro="" textlink="">
          <xdr:nvSpPr>
            <xdr:cNvPr id="22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703</xdr:row>
          <xdr:rowOff>9525</xdr:rowOff>
        </xdr:from>
        <xdr:to>
          <xdr:col>2</xdr:col>
          <xdr:colOff>581025</xdr:colOff>
          <xdr:row>704</xdr:row>
          <xdr:rowOff>19050</xdr:rowOff>
        </xdr:to>
        <xdr:sp macro="" textlink="">
          <xdr:nvSpPr>
            <xdr:cNvPr id="23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702</xdr:row>
          <xdr:rowOff>95250</xdr:rowOff>
        </xdr:from>
        <xdr:to>
          <xdr:col>6</xdr:col>
          <xdr:colOff>390525</xdr:colOff>
          <xdr:row>704</xdr:row>
          <xdr:rowOff>152400</xdr:rowOff>
        </xdr:to>
        <xdr:sp macro="" textlink="">
          <xdr:nvSpPr>
            <xdr:cNvPr id="24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885825</xdr:colOff>
          <xdr:row>708</xdr:row>
          <xdr:rowOff>180975</xdr:rowOff>
        </xdr:from>
        <xdr:to>
          <xdr:col>2</xdr:col>
          <xdr:colOff>161925</xdr:colOff>
          <xdr:row>709</xdr:row>
          <xdr:rowOff>190500</xdr:rowOff>
        </xdr:to>
        <xdr:sp macro="" textlink="">
          <xdr:nvSpPr>
            <xdr:cNvPr id="25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711</xdr:row>
          <xdr:rowOff>0</xdr:rowOff>
        </xdr:from>
        <xdr:to>
          <xdr:col>2</xdr:col>
          <xdr:colOff>714375</xdr:colOff>
          <xdr:row>712</xdr:row>
          <xdr:rowOff>9525</xdr:rowOff>
        </xdr:to>
        <xdr:sp macro="" textlink="">
          <xdr:nvSpPr>
            <xdr:cNvPr id="26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712</xdr:row>
          <xdr:rowOff>114300</xdr:rowOff>
        </xdr:from>
        <xdr:to>
          <xdr:col>3</xdr:col>
          <xdr:colOff>323850</xdr:colOff>
          <xdr:row>714</xdr:row>
          <xdr:rowOff>161925</xdr:rowOff>
        </xdr:to>
        <xdr:sp macro="" textlink="">
          <xdr:nvSpPr>
            <xdr:cNvPr id="27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257175</xdr:colOff>
          <xdr:row>718</xdr:row>
          <xdr:rowOff>9525</xdr:rowOff>
        </xdr:from>
        <xdr:to>
          <xdr:col>2</xdr:col>
          <xdr:colOff>495300</xdr:colOff>
          <xdr:row>719</xdr:row>
          <xdr:rowOff>19050</xdr:rowOff>
        </xdr:to>
        <xdr:sp macro="" textlink="">
          <xdr:nvSpPr>
            <xdr:cNvPr id="28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742950</xdr:colOff>
          <xdr:row>719</xdr:row>
          <xdr:rowOff>171450</xdr:rowOff>
        </xdr:from>
        <xdr:to>
          <xdr:col>2</xdr:col>
          <xdr:colOff>257175</xdr:colOff>
          <xdr:row>721</xdr:row>
          <xdr:rowOff>9525</xdr:rowOff>
        </xdr:to>
        <xdr:sp macro="" textlink="">
          <xdr:nvSpPr>
            <xdr:cNvPr id="29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721</xdr:row>
          <xdr:rowOff>0</xdr:rowOff>
        </xdr:from>
        <xdr:to>
          <xdr:col>2</xdr:col>
          <xdr:colOff>238125</xdr:colOff>
          <xdr:row>722</xdr:row>
          <xdr:rowOff>38100</xdr:rowOff>
        </xdr:to>
        <xdr:sp macro="" textlink="">
          <xdr:nvSpPr>
            <xdr:cNvPr id="30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721</xdr:row>
          <xdr:rowOff>190500</xdr:rowOff>
        </xdr:from>
        <xdr:to>
          <xdr:col>2</xdr:col>
          <xdr:colOff>76200</xdr:colOff>
          <xdr:row>722</xdr:row>
          <xdr:rowOff>200025</xdr:rowOff>
        </xdr:to>
        <xdr:sp macro="" textlink="">
          <xdr:nvSpPr>
            <xdr:cNvPr id="31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735</xdr:row>
          <xdr:rowOff>0</xdr:rowOff>
        </xdr:from>
        <xdr:to>
          <xdr:col>1</xdr:col>
          <xdr:colOff>609600</xdr:colOff>
          <xdr:row>736</xdr:row>
          <xdr:rowOff>19050</xdr:rowOff>
        </xdr:to>
        <xdr:sp macro="" textlink="">
          <xdr:nvSpPr>
            <xdr:cNvPr id="32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736</xdr:row>
          <xdr:rowOff>0</xdr:rowOff>
        </xdr:from>
        <xdr:to>
          <xdr:col>1</xdr:col>
          <xdr:colOff>657225</xdr:colOff>
          <xdr:row>737</xdr:row>
          <xdr:rowOff>19050</xdr:rowOff>
        </xdr:to>
        <xdr:sp macro="" textlink="">
          <xdr:nvSpPr>
            <xdr:cNvPr id="33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737</xdr:row>
          <xdr:rowOff>0</xdr:rowOff>
        </xdr:from>
        <xdr:to>
          <xdr:col>1</xdr:col>
          <xdr:colOff>638175</xdr:colOff>
          <xdr:row>738</xdr:row>
          <xdr:rowOff>38100</xdr:rowOff>
        </xdr:to>
        <xdr:sp macro="" textlink="">
          <xdr:nvSpPr>
            <xdr:cNvPr id="34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828675</xdr:colOff>
          <xdr:row>747</xdr:row>
          <xdr:rowOff>0</xdr:rowOff>
        </xdr:from>
        <xdr:to>
          <xdr:col>2</xdr:col>
          <xdr:colOff>104775</xdr:colOff>
          <xdr:row>748</xdr:row>
          <xdr:rowOff>19050</xdr:rowOff>
        </xdr:to>
        <xdr:sp macro="" textlink="">
          <xdr:nvSpPr>
            <xdr:cNvPr id="35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740</xdr:row>
          <xdr:rowOff>95250</xdr:rowOff>
        </xdr:from>
        <xdr:to>
          <xdr:col>4</xdr:col>
          <xdr:colOff>123825</xdr:colOff>
          <xdr:row>742</xdr:row>
          <xdr:rowOff>114300</xdr:rowOff>
        </xdr:to>
        <xdr:sp macro="" textlink="">
          <xdr:nvSpPr>
            <xdr:cNvPr id="36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742</xdr:row>
          <xdr:rowOff>95250</xdr:rowOff>
        </xdr:from>
        <xdr:to>
          <xdr:col>4</xdr:col>
          <xdr:colOff>161925</xdr:colOff>
          <xdr:row>744</xdr:row>
          <xdr:rowOff>114300</xdr:rowOff>
        </xdr:to>
        <xdr:sp macro="" textlink="">
          <xdr:nvSpPr>
            <xdr:cNvPr id="37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746</xdr:row>
          <xdr:rowOff>95250</xdr:rowOff>
        </xdr:from>
        <xdr:to>
          <xdr:col>6</xdr:col>
          <xdr:colOff>66675</xdr:colOff>
          <xdr:row>748</xdr:row>
          <xdr:rowOff>152400</xdr:rowOff>
        </xdr:to>
        <xdr:sp macro="" textlink="">
          <xdr:nvSpPr>
            <xdr:cNvPr id="38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885825</xdr:colOff>
          <xdr:row>753</xdr:row>
          <xdr:rowOff>190500</xdr:rowOff>
        </xdr:from>
        <xdr:to>
          <xdr:col>2</xdr:col>
          <xdr:colOff>161925</xdr:colOff>
          <xdr:row>755</xdr:row>
          <xdr:rowOff>9525</xdr:rowOff>
        </xdr:to>
        <xdr:sp macro="" textlink="">
          <xdr:nvSpPr>
            <xdr:cNvPr id="39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666750</xdr:colOff>
          <xdr:row>753</xdr:row>
          <xdr:rowOff>95250</xdr:rowOff>
        </xdr:from>
        <xdr:to>
          <xdr:col>4</xdr:col>
          <xdr:colOff>171450</xdr:colOff>
          <xdr:row>755</xdr:row>
          <xdr:rowOff>152400</xdr:rowOff>
        </xdr:to>
        <xdr:sp macro="" textlink="">
          <xdr:nvSpPr>
            <xdr:cNvPr id="657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910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914400</xdr:colOff>
          <xdr:row>761</xdr:row>
          <xdr:rowOff>180975</xdr:rowOff>
        </xdr:from>
        <xdr:to>
          <xdr:col>2</xdr:col>
          <xdr:colOff>219075</xdr:colOff>
          <xdr:row>763</xdr:row>
          <xdr:rowOff>9525</xdr:rowOff>
        </xdr:to>
        <xdr:sp macro="" textlink="">
          <xdr:nvSpPr>
            <xdr:cNvPr id="658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920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761</xdr:row>
          <xdr:rowOff>57150</xdr:rowOff>
        </xdr:from>
        <xdr:to>
          <xdr:col>4</xdr:col>
          <xdr:colOff>190500</xdr:colOff>
          <xdr:row>763</xdr:row>
          <xdr:rowOff>114300</xdr:rowOff>
        </xdr:to>
        <xdr:sp macro="" textlink="">
          <xdr:nvSpPr>
            <xdr:cNvPr id="821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35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755</xdr:row>
          <xdr:rowOff>171450</xdr:rowOff>
        </xdr:from>
        <xdr:to>
          <xdr:col>2</xdr:col>
          <xdr:colOff>276225</xdr:colOff>
          <xdr:row>757</xdr:row>
          <xdr:rowOff>0</xdr:rowOff>
        </xdr:to>
        <xdr:sp macro="" textlink="">
          <xdr:nvSpPr>
            <xdr:cNvPr id="1083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755</xdr:row>
          <xdr:rowOff>66675</xdr:rowOff>
        </xdr:from>
        <xdr:to>
          <xdr:col>6</xdr:col>
          <xdr:colOff>200025</xdr:colOff>
          <xdr:row>757</xdr:row>
          <xdr:rowOff>123825</xdr:rowOff>
        </xdr:to>
        <xdr:sp macro="" textlink="">
          <xdr:nvSpPr>
            <xdr:cNvPr id="1084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666750</xdr:colOff>
          <xdr:row>764</xdr:row>
          <xdr:rowOff>0</xdr:rowOff>
        </xdr:from>
        <xdr:to>
          <xdr:col>3</xdr:col>
          <xdr:colOff>76200</xdr:colOff>
          <xdr:row>765</xdr:row>
          <xdr:rowOff>19050</xdr:rowOff>
        </xdr:to>
        <xdr:sp macro="" textlink="">
          <xdr:nvSpPr>
            <xdr:cNvPr id="1144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769</xdr:row>
          <xdr:rowOff>76200</xdr:rowOff>
        </xdr:from>
        <xdr:to>
          <xdr:col>3</xdr:col>
          <xdr:colOff>314325</xdr:colOff>
          <xdr:row>771</xdr:row>
          <xdr:rowOff>161925</xdr:rowOff>
        </xdr:to>
        <xdr:sp macro="" textlink="">
          <xdr:nvSpPr>
            <xdr:cNvPr id="1145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772</xdr:row>
          <xdr:rowOff>190500</xdr:rowOff>
        </xdr:from>
        <xdr:to>
          <xdr:col>2</xdr:col>
          <xdr:colOff>247650</xdr:colOff>
          <xdr:row>774</xdr:row>
          <xdr:rowOff>19050</xdr:rowOff>
        </xdr:to>
        <xdr:sp macro="" textlink="">
          <xdr:nvSpPr>
            <xdr:cNvPr id="1146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774</xdr:row>
          <xdr:rowOff>0</xdr:rowOff>
        </xdr:from>
        <xdr:to>
          <xdr:col>2</xdr:col>
          <xdr:colOff>285750</xdr:colOff>
          <xdr:row>775</xdr:row>
          <xdr:rowOff>19050</xdr:rowOff>
        </xdr:to>
        <xdr:sp macro="" textlink="">
          <xdr:nvSpPr>
            <xdr:cNvPr id="1147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775</xdr:row>
          <xdr:rowOff>9525</xdr:rowOff>
        </xdr:from>
        <xdr:to>
          <xdr:col>2</xdr:col>
          <xdr:colOff>266700</xdr:colOff>
          <xdr:row>776</xdr:row>
          <xdr:rowOff>38100</xdr:rowOff>
        </xdr:to>
        <xdr:sp macro="" textlink="">
          <xdr:nvSpPr>
            <xdr:cNvPr id="1148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783</xdr:row>
          <xdr:rowOff>0</xdr:rowOff>
        </xdr:from>
        <xdr:to>
          <xdr:col>1</xdr:col>
          <xdr:colOff>619125</xdr:colOff>
          <xdr:row>784</xdr:row>
          <xdr:rowOff>19050</xdr:rowOff>
        </xdr:to>
        <xdr:sp macro="" textlink="">
          <xdr:nvSpPr>
            <xdr:cNvPr id="1149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784</xdr:row>
          <xdr:rowOff>0</xdr:rowOff>
        </xdr:from>
        <xdr:to>
          <xdr:col>1</xdr:col>
          <xdr:colOff>638175</xdr:colOff>
          <xdr:row>785</xdr:row>
          <xdr:rowOff>38100</xdr:rowOff>
        </xdr:to>
        <xdr:sp macro="" textlink="">
          <xdr:nvSpPr>
            <xdr:cNvPr id="1150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785</xdr:row>
          <xdr:rowOff>0</xdr:rowOff>
        </xdr:from>
        <xdr:to>
          <xdr:col>1</xdr:col>
          <xdr:colOff>619125</xdr:colOff>
          <xdr:row>786</xdr:row>
          <xdr:rowOff>28575</xdr:rowOff>
        </xdr:to>
        <xdr:sp macro="" textlink="">
          <xdr:nvSpPr>
            <xdr:cNvPr id="1151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789</xdr:row>
          <xdr:rowOff>9525</xdr:rowOff>
        </xdr:from>
        <xdr:to>
          <xdr:col>2</xdr:col>
          <xdr:colOff>447675</xdr:colOff>
          <xdr:row>790</xdr:row>
          <xdr:rowOff>28575</xdr:rowOff>
        </xdr:to>
        <xdr:sp macro="" textlink="">
          <xdr:nvSpPr>
            <xdr:cNvPr id="1152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790</xdr:row>
          <xdr:rowOff>9525</xdr:rowOff>
        </xdr:from>
        <xdr:to>
          <xdr:col>2</xdr:col>
          <xdr:colOff>447675</xdr:colOff>
          <xdr:row>791</xdr:row>
          <xdr:rowOff>28575</xdr:rowOff>
        </xdr:to>
        <xdr:sp macro="" textlink="">
          <xdr:nvSpPr>
            <xdr:cNvPr id="1153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794</xdr:row>
          <xdr:rowOff>9525</xdr:rowOff>
        </xdr:from>
        <xdr:to>
          <xdr:col>2</xdr:col>
          <xdr:colOff>419100</xdr:colOff>
          <xdr:row>795</xdr:row>
          <xdr:rowOff>0</xdr:rowOff>
        </xdr:to>
        <xdr:sp macro="" textlink="">
          <xdr:nvSpPr>
            <xdr:cNvPr id="1154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657225</xdr:colOff>
          <xdr:row>799</xdr:row>
          <xdr:rowOff>85725</xdr:rowOff>
        </xdr:from>
        <xdr:to>
          <xdr:col>4</xdr:col>
          <xdr:colOff>161925</xdr:colOff>
          <xdr:row>801</xdr:row>
          <xdr:rowOff>142875</xdr:rowOff>
        </xdr:to>
        <xdr:sp macro="" textlink="">
          <xdr:nvSpPr>
            <xdr:cNvPr id="1155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904875</xdr:colOff>
          <xdr:row>800</xdr:row>
          <xdr:rowOff>9525</xdr:rowOff>
        </xdr:from>
        <xdr:to>
          <xdr:col>2</xdr:col>
          <xdr:colOff>180975</xdr:colOff>
          <xdr:row>801</xdr:row>
          <xdr:rowOff>0</xdr:rowOff>
        </xdr:to>
        <xdr:sp macro="" textlink="">
          <xdr:nvSpPr>
            <xdr:cNvPr id="1156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803</xdr:row>
          <xdr:rowOff>19050</xdr:rowOff>
        </xdr:from>
        <xdr:to>
          <xdr:col>2</xdr:col>
          <xdr:colOff>238125</xdr:colOff>
          <xdr:row>804</xdr:row>
          <xdr:rowOff>9525</xdr:rowOff>
        </xdr:to>
        <xdr:sp macro="" textlink="">
          <xdr:nvSpPr>
            <xdr:cNvPr id="1157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805</xdr:row>
          <xdr:rowOff>0</xdr:rowOff>
        </xdr:from>
        <xdr:to>
          <xdr:col>2</xdr:col>
          <xdr:colOff>247650</xdr:colOff>
          <xdr:row>806</xdr:row>
          <xdr:rowOff>19050</xdr:rowOff>
        </xdr:to>
        <xdr:sp macro="" textlink="">
          <xdr:nvSpPr>
            <xdr:cNvPr id="1158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804</xdr:row>
          <xdr:rowOff>0</xdr:rowOff>
        </xdr:from>
        <xdr:to>
          <xdr:col>2</xdr:col>
          <xdr:colOff>247650</xdr:colOff>
          <xdr:row>805</xdr:row>
          <xdr:rowOff>38100</xdr:rowOff>
        </xdr:to>
        <xdr:sp macro="" textlink="">
          <xdr:nvSpPr>
            <xdr:cNvPr id="1159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628650</xdr:colOff>
          <xdr:row>812</xdr:row>
          <xdr:rowOff>0</xdr:rowOff>
        </xdr:from>
        <xdr:to>
          <xdr:col>2</xdr:col>
          <xdr:colOff>123825</xdr:colOff>
          <xdr:row>813</xdr:row>
          <xdr:rowOff>19050</xdr:rowOff>
        </xdr:to>
        <xdr:sp macro="" textlink="">
          <xdr:nvSpPr>
            <xdr:cNvPr id="1160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609600</xdr:colOff>
          <xdr:row>813</xdr:row>
          <xdr:rowOff>9525</xdr:rowOff>
        </xdr:from>
        <xdr:to>
          <xdr:col>2</xdr:col>
          <xdr:colOff>123825</xdr:colOff>
          <xdr:row>814</xdr:row>
          <xdr:rowOff>19050</xdr:rowOff>
        </xdr:to>
        <xdr:sp macro="" textlink="">
          <xdr:nvSpPr>
            <xdr:cNvPr id="1161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609600</xdr:colOff>
          <xdr:row>814</xdr:row>
          <xdr:rowOff>0</xdr:rowOff>
        </xdr:from>
        <xdr:to>
          <xdr:col>2</xdr:col>
          <xdr:colOff>104775</xdr:colOff>
          <xdr:row>815</xdr:row>
          <xdr:rowOff>19050</xdr:rowOff>
        </xdr:to>
        <xdr:sp macro="" textlink="">
          <xdr:nvSpPr>
            <xdr:cNvPr id="1162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811</xdr:row>
          <xdr:rowOff>180975</xdr:rowOff>
        </xdr:from>
        <xdr:to>
          <xdr:col>3</xdr:col>
          <xdr:colOff>428625</xdr:colOff>
          <xdr:row>815</xdr:row>
          <xdr:rowOff>38100</xdr:rowOff>
        </xdr:to>
        <xdr:sp macro="" textlink="">
          <xdr:nvSpPr>
            <xdr:cNvPr id="1163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238125</xdr:colOff>
          <xdr:row>811</xdr:row>
          <xdr:rowOff>180975</xdr:rowOff>
        </xdr:from>
        <xdr:to>
          <xdr:col>5</xdr:col>
          <xdr:colOff>533400</xdr:colOff>
          <xdr:row>815</xdr:row>
          <xdr:rowOff>38100</xdr:rowOff>
        </xdr:to>
        <xdr:sp macro="" textlink="">
          <xdr:nvSpPr>
            <xdr:cNvPr id="1164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811</xdr:row>
          <xdr:rowOff>180975</xdr:rowOff>
        </xdr:from>
        <xdr:to>
          <xdr:col>7</xdr:col>
          <xdr:colOff>447675</xdr:colOff>
          <xdr:row>815</xdr:row>
          <xdr:rowOff>19050</xdr:rowOff>
        </xdr:to>
        <xdr:sp macro="" textlink="">
          <xdr:nvSpPr>
            <xdr:cNvPr id="1165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817</xdr:row>
          <xdr:rowOff>114300</xdr:rowOff>
        </xdr:from>
        <xdr:to>
          <xdr:col>3</xdr:col>
          <xdr:colOff>400050</xdr:colOff>
          <xdr:row>819</xdr:row>
          <xdr:rowOff>133350</xdr:rowOff>
        </xdr:to>
        <xdr:sp macro="" textlink="">
          <xdr:nvSpPr>
            <xdr:cNvPr id="1166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822</xdr:row>
          <xdr:rowOff>38100</xdr:rowOff>
        </xdr:from>
        <xdr:to>
          <xdr:col>1</xdr:col>
          <xdr:colOff>190500</xdr:colOff>
          <xdr:row>822</xdr:row>
          <xdr:rowOff>190500</xdr:rowOff>
        </xdr:to>
        <xdr:sp macro="" textlink="">
          <xdr:nvSpPr>
            <xdr:cNvPr id="1167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860</xdr:row>
          <xdr:rowOff>76200</xdr:rowOff>
        </xdr:from>
        <xdr:to>
          <xdr:col>5</xdr:col>
          <xdr:colOff>57150</xdr:colOff>
          <xdr:row>862</xdr:row>
          <xdr:rowOff>123825</xdr:rowOff>
        </xdr:to>
        <xdr:sp macro="" textlink="">
          <xdr:nvSpPr>
            <xdr:cNvPr id="1168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853</xdr:row>
          <xdr:rowOff>180975</xdr:rowOff>
        </xdr:from>
        <xdr:to>
          <xdr:col>2</xdr:col>
          <xdr:colOff>114300</xdr:colOff>
          <xdr:row>855</xdr:row>
          <xdr:rowOff>0</xdr:rowOff>
        </xdr:to>
        <xdr:sp macro="" textlink="">
          <xdr:nvSpPr>
            <xdr:cNvPr id="1169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853</xdr:row>
          <xdr:rowOff>57150</xdr:rowOff>
        </xdr:from>
        <xdr:to>
          <xdr:col>5</xdr:col>
          <xdr:colOff>371475</xdr:colOff>
          <xdr:row>854</xdr:row>
          <xdr:rowOff>76200</xdr:rowOff>
        </xdr:to>
        <xdr:sp macro="" textlink="">
          <xdr:nvSpPr>
            <xdr:cNvPr id="1170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85573</xdr:colOff>
      <xdr:row>2</xdr:row>
      <xdr:rowOff>138111</xdr:rowOff>
    </xdr:from>
    <xdr:to>
      <xdr:col>18</xdr:col>
      <xdr:colOff>393094</xdr:colOff>
      <xdr:row>17</xdr:row>
      <xdr:rowOff>33563</xdr:rowOff>
    </xdr:to>
    <xdr:pic>
      <xdr:nvPicPr>
        <xdr:cNvPr id="1215" name="Pictur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011" y="622299"/>
          <a:ext cx="6665458" cy="2872014"/>
        </a:xfrm>
        <a:prstGeom prst="rect">
          <a:avLst/>
        </a:prstGeom>
      </xdr:spPr>
    </xdr:pic>
    <xdr:clientData/>
  </xdr:twoCellAnchor>
  <xdr:twoCellAnchor editAs="oneCell">
    <xdr:from>
      <xdr:col>1</xdr:col>
      <xdr:colOff>78242</xdr:colOff>
      <xdr:row>73</xdr:row>
      <xdr:rowOff>2984501</xdr:rowOff>
    </xdr:from>
    <xdr:to>
      <xdr:col>8</xdr:col>
      <xdr:colOff>666750</xdr:colOff>
      <xdr:row>74</xdr:row>
      <xdr:rowOff>3111500</xdr:rowOff>
    </xdr:to>
    <xdr:pic>
      <xdr:nvPicPr>
        <xdr:cNvPr id="1219" name="Pictur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117" y="18129251"/>
          <a:ext cx="6398758" cy="334962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73</xdr:row>
      <xdr:rowOff>20788</xdr:rowOff>
    </xdr:from>
    <xdr:to>
      <xdr:col>7</xdr:col>
      <xdr:colOff>820208</xdr:colOff>
      <xdr:row>73</xdr:row>
      <xdr:rowOff>3111499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7" y="14784538"/>
          <a:ext cx="5450416" cy="3090711"/>
        </a:xfrm>
        <a:prstGeom prst="rect">
          <a:avLst/>
        </a:prstGeom>
      </xdr:spPr>
    </xdr:pic>
    <xdr:clientData/>
  </xdr:twoCellAnchor>
  <xdr:twoCellAnchor editAs="oneCell">
    <xdr:from>
      <xdr:col>2</xdr:col>
      <xdr:colOff>413507</xdr:colOff>
      <xdr:row>546</xdr:row>
      <xdr:rowOff>68036</xdr:rowOff>
    </xdr:from>
    <xdr:to>
      <xdr:col>7</xdr:col>
      <xdr:colOff>664472</xdr:colOff>
      <xdr:row>546</xdr:row>
      <xdr:rowOff>5184726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293" y="122273786"/>
          <a:ext cx="4251465" cy="5116690"/>
        </a:xfrm>
        <a:prstGeom prst="rect">
          <a:avLst/>
        </a:prstGeom>
      </xdr:spPr>
    </xdr:pic>
    <xdr:clientData/>
  </xdr:twoCellAnchor>
  <xdr:twoCellAnchor editAs="oneCell">
    <xdr:from>
      <xdr:col>10</xdr:col>
      <xdr:colOff>766232</xdr:colOff>
      <xdr:row>651</xdr:row>
      <xdr:rowOff>135467</xdr:rowOff>
    </xdr:from>
    <xdr:to>
      <xdr:col>18</xdr:col>
      <xdr:colOff>723899</xdr:colOff>
      <xdr:row>676</xdr:row>
      <xdr:rowOff>12339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2932" y="152554517"/>
          <a:ext cx="5729817" cy="5191822"/>
        </a:xfrm>
        <a:prstGeom prst="rect">
          <a:avLst/>
        </a:prstGeom>
      </xdr:spPr>
    </xdr:pic>
    <xdr:clientData/>
  </xdr:twoCellAnchor>
  <xdr:twoCellAnchor editAs="oneCell">
    <xdr:from>
      <xdr:col>10</xdr:col>
      <xdr:colOff>660401</xdr:colOff>
      <xdr:row>676</xdr:row>
      <xdr:rowOff>218017</xdr:rowOff>
    </xdr:from>
    <xdr:to>
      <xdr:col>20</xdr:col>
      <xdr:colOff>419100</xdr:colOff>
      <xdr:row>713</xdr:row>
      <xdr:rowOff>149232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101" y="157952017"/>
          <a:ext cx="7111999" cy="791316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635001</xdr:colOff>
      <xdr:row>714</xdr:row>
      <xdr:rowOff>29634</xdr:rowOff>
    </xdr:from>
    <xdr:to>
      <xdr:col>20</xdr:col>
      <xdr:colOff>647700</xdr:colOff>
      <xdr:row>734</xdr:row>
      <xdr:rowOff>152400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1701" y="165955134"/>
          <a:ext cx="7365999" cy="4466166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294</xdr:row>
      <xdr:rowOff>142875</xdr:rowOff>
    </xdr:from>
    <xdr:to>
      <xdr:col>8</xdr:col>
      <xdr:colOff>825500</xdr:colOff>
      <xdr:row>294</xdr:row>
      <xdr:rowOff>2243667</xdr:rowOff>
    </xdr:to>
    <xdr:grpSp>
      <xdr:nvGrpSpPr>
        <xdr:cNvPr id="1226" name="Group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GrpSpPr>
          <a:grpSpLocks/>
        </xdr:cNvGrpSpPr>
      </xdr:nvGrpSpPr>
      <xdr:grpSpPr bwMode="auto">
        <a:xfrm>
          <a:off x="746125" y="66074925"/>
          <a:ext cx="6394450" cy="2100792"/>
          <a:chOff x="923" y="3646"/>
          <a:chExt cx="440" cy="222"/>
        </a:xfrm>
      </xdr:grpSpPr>
      <xdr:grpSp>
        <xdr:nvGrpSpPr>
          <xdr:cNvPr id="1227" name="Group 1226">
            <a:extLst>
              <a:ext uri="{FF2B5EF4-FFF2-40B4-BE49-F238E27FC236}">
                <a16:creationId xmlns:a16="http://schemas.microsoft.com/office/drawing/2014/main" id="{00000000-0008-0000-0000-0000CB040000}"/>
              </a:ext>
            </a:extLst>
          </xdr:cNvPr>
          <xdr:cNvGrpSpPr>
            <a:grpSpLocks/>
          </xdr:cNvGrpSpPr>
        </xdr:nvGrpSpPr>
        <xdr:grpSpPr bwMode="auto">
          <a:xfrm>
            <a:off x="923" y="3646"/>
            <a:ext cx="440" cy="222"/>
            <a:chOff x="611" y="3658"/>
            <a:chExt cx="443" cy="220"/>
          </a:xfrm>
        </xdr:grpSpPr>
        <xdr:grpSp>
          <xdr:nvGrpSpPr>
            <xdr:cNvPr id="1229" name="Group 3">
              <a:extLs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1" y="3658"/>
              <a:ext cx="443" cy="220"/>
              <a:chOff x="719" y="3670"/>
              <a:chExt cx="443" cy="220"/>
            </a:xfrm>
          </xdr:grpSpPr>
          <xdr:grpSp>
            <xdr:nvGrpSpPr>
              <xdr:cNvPr id="1231" name="Group 4">
                <a:extLst>
                  <a:ext uri="{FF2B5EF4-FFF2-40B4-BE49-F238E27FC236}">
                    <a16:creationId xmlns:a16="http://schemas.microsoft.com/office/drawing/2014/main" id="{00000000-0008-0000-0000-0000CF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19" y="3670"/>
                <a:ext cx="443" cy="220"/>
                <a:chOff x="905" y="3639"/>
                <a:chExt cx="352" cy="185"/>
              </a:xfrm>
            </xdr:grpSpPr>
            <xdr:grpSp>
              <xdr:nvGrpSpPr>
                <xdr:cNvPr id="1233" name="Group 5">
                  <a:extLst>
                    <a:ext uri="{FF2B5EF4-FFF2-40B4-BE49-F238E27FC236}">
                      <a16:creationId xmlns:a16="http://schemas.microsoft.com/office/drawing/2014/main" id="{00000000-0008-0000-0000-0000D104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05" y="3639"/>
                  <a:ext cx="352" cy="185"/>
                  <a:chOff x="905" y="3639"/>
                  <a:chExt cx="352" cy="185"/>
                </a:xfrm>
              </xdr:grpSpPr>
              <xdr:grpSp>
                <xdr:nvGrpSpPr>
                  <xdr:cNvPr id="1239" name="Group 6">
                    <a:extLst>
                      <a:ext uri="{FF2B5EF4-FFF2-40B4-BE49-F238E27FC236}">
                        <a16:creationId xmlns:a16="http://schemas.microsoft.com/office/drawing/2014/main" id="{00000000-0008-0000-0000-0000D704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905" y="3639"/>
                    <a:ext cx="352" cy="185"/>
                    <a:chOff x="964" y="3665"/>
                    <a:chExt cx="352" cy="185"/>
                  </a:xfrm>
                </xdr:grpSpPr>
                <xdr:grpSp>
                  <xdr:nvGrpSpPr>
                    <xdr:cNvPr id="1241" name="Group 7">
                      <a:extLst>
                        <a:ext uri="{FF2B5EF4-FFF2-40B4-BE49-F238E27FC236}">
                          <a16:creationId xmlns:a16="http://schemas.microsoft.com/office/drawing/2014/main" id="{00000000-0008-0000-0000-0000D904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964" y="3665"/>
                      <a:ext cx="352" cy="185"/>
                      <a:chOff x="898" y="3656"/>
                      <a:chExt cx="352" cy="185"/>
                    </a:xfrm>
                  </xdr:grpSpPr>
                  <xdr:sp macro="" textlink="">
                    <xdr:nvSpPr>
                      <xdr:cNvPr id="1243" name="Rectangle 8">
                        <a:extLst>
                          <a:ext uri="{FF2B5EF4-FFF2-40B4-BE49-F238E27FC236}">
                            <a16:creationId xmlns:a16="http://schemas.microsoft.com/office/drawing/2014/main" id="{00000000-0008-0000-0000-0000DB040000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898" y="3656"/>
                        <a:ext cx="352" cy="18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1244" name="Line 9">
                        <a:extLst>
                          <a:ext uri="{FF2B5EF4-FFF2-40B4-BE49-F238E27FC236}">
                            <a16:creationId xmlns:a16="http://schemas.microsoft.com/office/drawing/2014/main" id="{00000000-0008-0000-0000-0000DC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08" y="3769"/>
                        <a:ext cx="53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45" name="Line 10">
                        <a:extLst>
                          <a:ext uri="{FF2B5EF4-FFF2-40B4-BE49-F238E27FC236}">
                            <a16:creationId xmlns:a16="http://schemas.microsoft.com/office/drawing/2014/main" id="{00000000-0008-0000-0000-0000DD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V="1">
                        <a:off x="961" y="3742"/>
                        <a:ext cx="40" cy="27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46" name="Line 11">
                        <a:extLst>
                          <a:ext uri="{FF2B5EF4-FFF2-40B4-BE49-F238E27FC236}">
                            <a16:creationId xmlns:a16="http://schemas.microsoft.com/office/drawing/2014/main" id="{00000000-0008-0000-0000-0000DE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001" y="3742"/>
                        <a:ext cx="3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47" name="Line 12">
                        <a:extLst>
                          <a:ext uri="{FF2B5EF4-FFF2-40B4-BE49-F238E27FC236}">
                            <a16:creationId xmlns:a16="http://schemas.microsoft.com/office/drawing/2014/main" id="{00000000-0008-0000-0000-0000DF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037" y="3742"/>
                        <a:ext cx="133" cy="62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48" name="Freeform 13">
                        <a:extLst>
                          <a:ext uri="{FF2B5EF4-FFF2-40B4-BE49-F238E27FC236}">
                            <a16:creationId xmlns:a16="http://schemas.microsoft.com/office/drawing/2014/main" id="{00000000-0008-0000-0000-0000E0040000}"/>
                          </a:ext>
                        </a:extLst>
                      </xdr:cNvPr>
                      <xdr:cNvSpPr>
                        <a:spLocks/>
                      </xdr:cNvSpPr>
                    </xdr:nvSpPr>
                    <xdr:spPr bwMode="auto">
                      <a:xfrm>
                        <a:off x="918" y="3690"/>
                        <a:ext cx="183" cy="65"/>
                      </a:xfrm>
                      <a:custGeom>
                        <a:avLst/>
                        <a:gdLst>
                          <a:gd name="T0" fmla="*/ 0 w 183"/>
                          <a:gd name="T1" fmla="*/ 4 h 65"/>
                          <a:gd name="T2" fmla="*/ 58 w 183"/>
                          <a:gd name="T3" fmla="*/ 4 h 65"/>
                          <a:gd name="T4" fmla="*/ 122 w 183"/>
                          <a:gd name="T5" fmla="*/ 30 h 65"/>
                          <a:gd name="T6" fmla="*/ 158 w 183"/>
                          <a:gd name="T7" fmla="*/ 57 h 65"/>
                          <a:gd name="T8" fmla="*/ 183 w 183"/>
                          <a:gd name="T9" fmla="*/ 65 h 65"/>
                          <a:gd name="T10" fmla="*/ 0 60000 65536"/>
                          <a:gd name="T11" fmla="*/ 0 60000 65536"/>
                          <a:gd name="T12" fmla="*/ 0 60000 65536"/>
                          <a:gd name="T13" fmla="*/ 0 60000 65536"/>
                          <a:gd name="T14" fmla="*/ 0 60000 65536"/>
                          <a:gd name="T15" fmla="*/ 0 w 183"/>
                          <a:gd name="T16" fmla="*/ 0 h 65"/>
                          <a:gd name="T17" fmla="*/ 183 w 183"/>
                          <a:gd name="T18" fmla="*/ 65 h 65"/>
                        </a:gdLst>
                        <a:ahLst/>
                        <a:cxnLst>
                          <a:cxn ang="T10">
                            <a:pos x="T0" y="T1"/>
                          </a:cxn>
                          <a:cxn ang="T11">
                            <a:pos x="T2" y="T3"/>
                          </a:cxn>
                          <a:cxn ang="T12">
                            <a:pos x="T4" y="T5"/>
                          </a:cxn>
                          <a:cxn ang="T13">
                            <a:pos x="T6" y="T7"/>
                          </a:cxn>
                          <a:cxn ang="T14">
                            <a:pos x="T8" y="T9"/>
                          </a:cxn>
                        </a:cxnLst>
                        <a:rect l="T15" t="T16" r="T17" b="T18"/>
                        <a:pathLst>
                          <a:path w="183" h="65">
                            <a:moveTo>
                              <a:pt x="0" y="4"/>
                            </a:moveTo>
                            <a:cubicBezTo>
                              <a:pt x="19" y="2"/>
                              <a:pt x="38" y="0"/>
                              <a:pt x="58" y="4"/>
                            </a:cubicBezTo>
                            <a:cubicBezTo>
                              <a:pt x="78" y="8"/>
                              <a:pt x="105" y="21"/>
                              <a:pt x="122" y="30"/>
                            </a:cubicBezTo>
                            <a:cubicBezTo>
                              <a:pt x="139" y="39"/>
                              <a:pt x="148" y="51"/>
                              <a:pt x="158" y="57"/>
                            </a:cubicBezTo>
                            <a:cubicBezTo>
                              <a:pt x="168" y="63"/>
                              <a:pt x="175" y="64"/>
                              <a:pt x="183" y="65"/>
                            </a:cubicBezTo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1249" name="Freeform 14">
                        <a:extLst>
                          <a:ext uri="{FF2B5EF4-FFF2-40B4-BE49-F238E27FC236}">
                            <a16:creationId xmlns:a16="http://schemas.microsoft.com/office/drawing/2014/main" id="{00000000-0008-0000-0000-0000E1040000}"/>
                          </a:ext>
                        </a:extLst>
                      </xdr:cNvPr>
                      <xdr:cNvSpPr>
                        <a:spLocks/>
                      </xdr:cNvSpPr>
                    </xdr:nvSpPr>
                    <xdr:spPr bwMode="auto">
                      <a:xfrm>
                        <a:off x="1101" y="3705"/>
                        <a:ext cx="108" cy="16"/>
                      </a:xfrm>
                      <a:custGeom>
                        <a:avLst/>
                        <a:gdLst>
                          <a:gd name="T0" fmla="*/ 0 w 108"/>
                          <a:gd name="T1" fmla="*/ 16 h 16"/>
                          <a:gd name="T2" fmla="*/ 30 w 108"/>
                          <a:gd name="T3" fmla="*/ 3 h 16"/>
                          <a:gd name="T4" fmla="*/ 67 w 108"/>
                          <a:gd name="T5" fmla="*/ 0 h 16"/>
                          <a:gd name="T6" fmla="*/ 108 w 108"/>
                          <a:gd name="T7" fmla="*/ 4 h 16"/>
                          <a:gd name="T8" fmla="*/ 0 60000 65536"/>
                          <a:gd name="T9" fmla="*/ 0 60000 65536"/>
                          <a:gd name="T10" fmla="*/ 0 60000 65536"/>
                          <a:gd name="T11" fmla="*/ 0 60000 65536"/>
                          <a:gd name="T12" fmla="*/ 0 w 108"/>
                          <a:gd name="T13" fmla="*/ 0 h 16"/>
                          <a:gd name="T14" fmla="*/ 108 w 108"/>
                          <a:gd name="T15" fmla="*/ 16 h 16"/>
                        </a:gdLst>
                        <a:ahLst/>
                        <a:cxnLst>
                          <a:cxn ang="T8">
                            <a:pos x="T0" y="T1"/>
                          </a:cxn>
                          <a:cxn ang="T9">
                            <a:pos x="T2" y="T3"/>
                          </a:cxn>
                          <a:cxn ang="T10">
                            <a:pos x="T4" y="T5"/>
                          </a:cxn>
                          <a:cxn ang="T11">
                            <a:pos x="T6" y="T7"/>
                          </a:cxn>
                        </a:cxnLst>
                        <a:rect l="T12" t="T13" r="T14" b="T15"/>
                        <a:pathLst>
                          <a:path w="108" h="16">
                            <a:moveTo>
                              <a:pt x="0" y="16"/>
                            </a:moveTo>
                            <a:cubicBezTo>
                              <a:pt x="9" y="11"/>
                              <a:pt x="19" y="6"/>
                              <a:pt x="30" y="3"/>
                            </a:cubicBezTo>
                            <a:cubicBezTo>
                              <a:pt x="41" y="0"/>
                              <a:pt x="54" y="0"/>
                              <a:pt x="67" y="0"/>
                            </a:cubicBezTo>
                            <a:cubicBezTo>
                              <a:pt x="80" y="0"/>
                              <a:pt x="94" y="2"/>
                              <a:pt x="108" y="4"/>
                            </a:cubicBezTo>
                          </a:path>
                        </a:pathLst>
                      </a:custGeom>
                      <a:solidFill>
                        <a:srgbClr val="FFFFFF"/>
                      </a:solidFill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1250" name="Line 15">
                        <a:extLst>
                          <a:ext uri="{FF2B5EF4-FFF2-40B4-BE49-F238E27FC236}">
                            <a16:creationId xmlns:a16="http://schemas.microsoft.com/office/drawing/2014/main" id="{00000000-0008-0000-0000-0000E2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899" y="3679"/>
                        <a:ext cx="191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1" name="Line 16">
                        <a:extLst>
                          <a:ext uri="{FF2B5EF4-FFF2-40B4-BE49-F238E27FC236}">
                            <a16:creationId xmlns:a16="http://schemas.microsoft.com/office/drawing/2014/main" id="{00000000-0008-0000-0000-0000E3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107" y="3699"/>
                        <a:ext cx="13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2" name="Line 17">
                        <a:extLst>
                          <a:ext uri="{FF2B5EF4-FFF2-40B4-BE49-F238E27FC236}">
                            <a16:creationId xmlns:a16="http://schemas.microsoft.com/office/drawing/2014/main" id="{00000000-0008-0000-0000-0000E4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916" y="3742"/>
                        <a:ext cx="7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3" name="Line 18">
                        <a:extLst>
                          <a:ext uri="{FF2B5EF4-FFF2-40B4-BE49-F238E27FC236}">
                            <a16:creationId xmlns:a16="http://schemas.microsoft.com/office/drawing/2014/main" id="{00000000-0008-0000-0000-0000E5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84" y="3772"/>
                        <a:ext cx="181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4" name="Line 19">
                        <a:extLst>
                          <a:ext uri="{FF2B5EF4-FFF2-40B4-BE49-F238E27FC236}">
                            <a16:creationId xmlns:a16="http://schemas.microsoft.com/office/drawing/2014/main" id="{00000000-0008-0000-0000-0000E6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910" y="3770"/>
                        <a:ext cx="12" cy="12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5" name="Line 20">
                        <a:extLst>
                          <a:ext uri="{FF2B5EF4-FFF2-40B4-BE49-F238E27FC236}">
                            <a16:creationId xmlns:a16="http://schemas.microsoft.com/office/drawing/2014/main" id="{00000000-0008-0000-0000-0000E7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906" y="3770"/>
                        <a:ext cx="12" cy="12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6" name="Line 21">
                        <a:extLst>
                          <a:ext uri="{FF2B5EF4-FFF2-40B4-BE49-F238E27FC236}">
                            <a16:creationId xmlns:a16="http://schemas.microsoft.com/office/drawing/2014/main" id="{00000000-0008-0000-0000-0000E8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913" y="3770"/>
                        <a:ext cx="12" cy="12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7" name="Line 22">
                        <a:extLst>
                          <a:ext uri="{FF2B5EF4-FFF2-40B4-BE49-F238E27FC236}">
                            <a16:creationId xmlns:a16="http://schemas.microsoft.com/office/drawing/2014/main" id="{00000000-0008-0000-0000-0000E9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 flipH="1">
                        <a:off x="917" y="3769"/>
                        <a:ext cx="12" cy="12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8" name="Line 23">
                        <a:extLst>
                          <a:ext uri="{FF2B5EF4-FFF2-40B4-BE49-F238E27FC236}">
                            <a16:creationId xmlns:a16="http://schemas.microsoft.com/office/drawing/2014/main" id="{00000000-0008-0000-0000-0000EA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28" y="3770"/>
                        <a:ext cx="12" cy="13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59" name="Line 24">
                        <a:extLst>
                          <a:ext uri="{FF2B5EF4-FFF2-40B4-BE49-F238E27FC236}">
                            <a16:creationId xmlns:a16="http://schemas.microsoft.com/office/drawing/2014/main" id="{00000000-0008-0000-0000-0000EB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34" y="3770"/>
                        <a:ext cx="12" cy="13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60" name="Line 25">
                        <a:extLst>
                          <a:ext uri="{FF2B5EF4-FFF2-40B4-BE49-F238E27FC236}">
                            <a16:creationId xmlns:a16="http://schemas.microsoft.com/office/drawing/2014/main" id="{00000000-0008-0000-0000-0000EC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15" y="3771"/>
                        <a:ext cx="12" cy="13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61" name="Line 26">
                        <a:extLst>
                          <a:ext uri="{FF2B5EF4-FFF2-40B4-BE49-F238E27FC236}">
                            <a16:creationId xmlns:a16="http://schemas.microsoft.com/office/drawing/2014/main" id="{00000000-0008-0000-0000-0000ED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20" y="3771"/>
                        <a:ext cx="12" cy="13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262" name="Line 27">
                        <a:extLst>
                          <a:ext uri="{FF2B5EF4-FFF2-40B4-BE49-F238E27FC236}">
                            <a16:creationId xmlns:a16="http://schemas.microsoft.com/office/drawing/2014/main" id="{00000000-0008-0000-0000-0000EE04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923" y="3770"/>
                        <a:ext cx="12" cy="13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</xdr:grpSp>
                <xdr:sp macro="" textlink="">
                  <xdr:nvSpPr>
                    <xdr:cNvPr id="1242" name="Line 28">
                      <a:extLst>
                        <a:ext uri="{FF2B5EF4-FFF2-40B4-BE49-F238E27FC236}">
                          <a16:creationId xmlns:a16="http://schemas.microsoft.com/office/drawing/2014/main" id="{00000000-0008-0000-0000-0000DA04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992" y="3687"/>
                      <a:ext cx="0" cy="64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 type="stealth" w="med" len="med"/>
                      <a:tailEnd type="stealth" w="med" len="med"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1240" name="Line 29">
                    <a:extLst>
                      <a:ext uri="{FF2B5EF4-FFF2-40B4-BE49-F238E27FC236}">
                        <a16:creationId xmlns:a16="http://schemas.microsoft.com/office/drawing/2014/main" id="{00000000-0008-0000-0000-0000D804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1107" y="3704"/>
                    <a:ext cx="0" cy="32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234" name="Line 30">
                  <a:extLst>
                    <a:ext uri="{FF2B5EF4-FFF2-40B4-BE49-F238E27FC236}">
                      <a16:creationId xmlns:a16="http://schemas.microsoft.com/office/drawing/2014/main" id="{00000000-0008-0000-0000-0000D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12" y="3663"/>
                  <a:ext cx="0" cy="1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 type="stealth" w="sm" len="sm"/>
                  <a:tailEnd type="arrow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35" name="Line 31">
                  <a:extLst>
                    <a:ext uri="{FF2B5EF4-FFF2-40B4-BE49-F238E27FC236}">
                      <a16:creationId xmlns:a16="http://schemas.microsoft.com/office/drawing/2014/main" id="{00000000-0008-0000-0000-0000D3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09" y="3705"/>
                  <a:ext cx="54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36" name="Line 32">
                  <a:extLst>
                    <a:ext uri="{FF2B5EF4-FFF2-40B4-BE49-F238E27FC236}">
                      <a16:creationId xmlns:a16="http://schemas.microsoft.com/office/drawing/2014/main" id="{00000000-0008-0000-0000-0000D4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24" y="3726"/>
                  <a:ext cx="0" cy="2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 type="triangle" w="sm" len="sm"/>
                  <a:tailEnd type="triangl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37" name="Line 33">
                  <a:extLst>
                    <a:ext uri="{FF2B5EF4-FFF2-40B4-BE49-F238E27FC236}">
                      <a16:creationId xmlns:a16="http://schemas.microsoft.com/office/drawing/2014/main" id="{00000000-0008-0000-0000-0000D5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16" y="3738"/>
                  <a:ext cx="17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38" name="Line 34">
                  <a:extLst>
                    <a:ext uri="{FF2B5EF4-FFF2-40B4-BE49-F238E27FC236}">
                      <a16:creationId xmlns:a16="http://schemas.microsoft.com/office/drawing/2014/main" id="{00000000-0008-0000-0000-0000D6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25" y="3738"/>
                  <a:ext cx="0" cy="1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 type="stealth" w="sm" len="sm"/>
                  <a:tailEnd type="stealth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232" name="Line 35">
                <a:extLst>
                  <a:ext uri="{FF2B5EF4-FFF2-40B4-BE49-F238E27FC236}">
                    <a16:creationId xmlns:a16="http://schemas.microsoft.com/office/drawing/2014/main" id="{00000000-0008-0000-0000-0000D0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29" y="3748"/>
                <a:ext cx="0" cy="59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 type="stealth" w="sm" len="lg"/>
                <a:tailEnd type="stealth" w="sm" len="lg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1230" name="Text Box 36">
              <a:extLs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4" y="3672"/>
              <a:ext cx="311" cy="14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1">
                <a:defRPr sz="1000"/>
              </a:pPr>
              <a:endParaRPr lang="en-US" sz="10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                                                         L=H</a:t>
              </a:r>
              <a:r>
                <a:rPr lang="en-US" sz="6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L</a:t>
              </a:r>
              <a:endParaRPr lang="en-US" sz="10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    K</a:t>
              </a:r>
            </a:p>
            <a:p>
              <a:pPr algn="l" rtl="1">
                <a:defRPr sz="1000"/>
              </a:pPr>
              <a:endParaRPr lang="en-US" sz="10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                                                                         </a:t>
              </a:r>
            </a:p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                                                                        y</a:t>
              </a:r>
            </a:p>
            <a:p>
              <a:pPr algn="l" rtl="1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                                F                              x</a:t>
              </a:r>
            </a:p>
          </xdr:txBody>
        </xdr:sp>
      </xdr:grpSp>
      <xdr:sp macro="" textlink="">
        <xdr:nvSpPr>
          <xdr:cNvPr id="1228" name="Text Box 37">
            <a:extLst>
              <a:ext uri="{FF2B5EF4-FFF2-40B4-BE49-F238E27FC236}">
                <a16:creationId xmlns:a16="http://schemas.microsoft.com/office/drawing/2014/main" id="{00000000-0008-0000-0000-0000C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0" y="3837"/>
            <a:ext cx="260" cy="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Various Parameters for using Crump's Curve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.emf"/><Relationship Id="rId117" Type="http://schemas.openxmlformats.org/officeDocument/2006/relationships/oleObject" Target="../embeddings/oleObject68.bin"/><Relationship Id="rId21" Type="http://schemas.openxmlformats.org/officeDocument/2006/relationships/oleObject" Target="../embeddings/oleObject10.bin"/><Relationship Id="rId42" Type="http://schemas.openxmlformats.org/officeDocument/2006/relationships/oleObject" Target="../embeddings/oleObject21.bin"/><Relationship Id="rId47" Type="http://schemas.openxmlformats.org/officeDocument/2006/relationships/oleObject" Target="../embeddings/oleObject24.bin"/><Relationship Id="rId63" Type="http://schemas.openxmlformats.org/officeDocument/2006/relationships/oleObject" Target="../embeddings/oleObject35.bin"/><Relationship Id="rId68" Type="http://schemas.openxmlformats.org/officeDocument/2006/relationships/oleObject" Target="../embeddings/oleObject38.bin"/><Relationship Id="rId84" Type="http://schemas.openxmlformats.org/officeDocument/2006/relationships/oleObject" Target="../embeddings/oleObject49.bin"/><Relationship Id="rId89" Type="http://schemas.openxmlformats.org/officeDocument/2006/relationships/image" Target="../media/image35.wmf"/><Relationship Id="rId112" Type="http://schemas.openxmlformats.org/officeDocument/2006/relationships/image" Target="../media/image44.wmf"/><Relationship Id="rId16" Type="http://schemas.openxmlformats.org/officeDocument/2006/relationships/image" Target="../media/image6.wmf"/><Relationship Id="rId107" Type="http://schemas.openxmlformats.org/officeDocument/2006/relationships/oleObject" Target="../embeddings/oleObject63.bin"/><Relationship Id="rId11" Type="http://schemas.openxmlformats.org/officeDocument/2006/relationships/oleObject" Target="../embeddings/oleObject5.bin"/><Relationship Id="rId32" Type="http://schemas.openxmlformats.org/officeDocument/2006/relationships/oleObject" Target="../embeddings/oleObject16.bin"/><Relationship Id="rId37" Type="http://schemas.openxmlformats.org/officeDocument/2006/relationships/image" Target="../media/image16.wmf"/><Relationship Id="rId53" Type="http://schemas.openxmlformats.org/officeDocument/2006/relationships/oleObject" Target="../embeddings/oleObject29.bin"/><Relationship Id="rId58" Type="http://schemas.openxmlformats.org/officeDocument/2006/relationships/image" Target="../media/image23.wmf"/><Relationship Id="rId74" Type="http://schemas.openxmlformats.org/officeDocument/2006/relationships/oleObject" Target="../embeddings/oleObject43.bin"/><Relationship Id="rId79" Type="http://schemas.openxmlformats.org/officeDocument/2006/relationships/oleObject" Target="../embeddings/oleObject46.bin"/><Relationship Id="rId102" Type="http://schemas.openxmlformats.org/officeDocument/2006/relationships/image" Target="../media/image39.wmf"/><Relationship Id="rId5" Type="http://schemas.openxmlformats.org/officeDocument/2006/relationships/image" Target="../media/image1.wmf"/><Relationship Id="rId90" Type="http://schemas.openxmlformats.org/officeDocument/2006/relationships/oleObject" Target="../embeddings/oleObject52.bin"/><Relationship Id="rId95" Type="http://schemas.openxmlformats.org/officeDocument/2006/relationships/oleObject" Target="../embeddings/oleObject55.bin"/><Relationship Id="rId22" Type="http://schemas.openxmlformats.org/officeDocument/2006/relationships/image" Target="../media/image9.wmf"/><Relationship Id="rId27" Type="http://schemas.openxmlformats.org/officeDocument/2006/relationships/oleObject" Target="../embeddings/oleObject13.bin"/><Relationship Id="rId43" Type="http://schemas.openxmlformats.org/officeDocument/2006/relationships/image" Target="../media/image19.wmf"/><Relationship Id="rId48" Type="http://schemas.openxmlformats.org/officeDocument/2006/relationships/oleObject" Target="../embeddings/oleObject25.bin"/><Relationship Id="rId64" Type="http://schemas.openxmlformats.org/officeDocument/2006/relationships/image" Target="../media/image26.wmf"/><Relationship Id="rId69" Type="http://schemas.openxmlformats.org/officeDocument/2006/relationships/oleObject" Target="../embeddings/oleObject39.bin"/><Relationship Id="rId113" Type="http://schemas.openxmlformats.org/officeDocument/2006/relationships/oleObject" Target="../embeddings/oleObject66.bin"/><Relationship Id="rId118" Type="http://schemas.openxmlformats.org/officeDocument/2006/relationships/image" Target="../media/image47.wmf"/><Relationship Id="rId80" Type="http://schemas.openxmlformats.org/officeDocument/2006/relationships/oleObject" Target="../embeddings/oleObject47.bin"/><Relationship Id="rId85" Type="http://schemas.openxmlformats.org/officeDocument/2006/relationships/image" Target="../media/image33.wmf"/><Relationship Id="rId12" Type="http://schemas.openxmlformats.org/officeDocument/2006/relationships/image" Target="../media/image4.wmf"/><Relationship Id="rId17" Type="http://schemas.openxmlformats.org/officeDocument/2006/relationships/oleObject" Target="../embeddings/oleObject8.bin"/><Relationship Id="rId33" Type="http://schemas.openxmlformats.org/officeDocument/2006/relationships/image" Target="../media/image14.wmf"/><Relationship Id="rId38" Type="http://schemas.openxmlformats.org/officeDocument/2006/relationships/oleObject" Target="../embeddings/oleObject19.bin"/><Relationship Id="rId59" Type="http://schemas.openxmlformats.org/officeDocument/2006/relationships/oleObject" Target="../embeddings/oleObject33.bin"/><Relationship Id="rId103" Type="http://schemas.openxmlformats.org/officeDocument/2006/relationships/oleObject" Target="../embeddings/oleObject61.bin"/><Relationship Id="rId108" Type="http://schemas.openxmlformats.org/officeDocument/2006/relationships/image" Target="../media/image42.wmf"/><Relationship Id="rId54" Type="http://schemas.openxmlformats.org/officeDocument/2006/relationships/oleObject" Target="../embeddings/oleObject30.bin"/><Relationship Id="rId70" Type="http://schemas.openxmlformats.org/officeDocument/2006/relationships/oleObject" Target="../embeddings/oleObject40.bin"/><Relationship Id="rId75" Type="http://schemas.openxmlformats.org/officeDocument/2006/relationships/oleObject" Target="../embeddings/oleObject44.bin"/><Relationship Id="rId91" Type="http://schemas.openxmlformats.org/officeDocument/2006/relationships/image" Target="../media/image36.wmf"/><Relationship Id="rId96" Type="http://schemas.openxmlformats.org/officeDocument/2006/relationships/oleObject" Target="../embeddings/oleObject5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23" Type="http://schemas.openxmlformats.org/officeDocument/2006/relationships/oleObject" Target="../embeddings/oleObject11.bin"/><Relationship Id="rId28" Type="http://schemas.openxmlformats.org/officeDocument/2006/relationships/oleObject" Target="../embeddings/oleObject14.bin"/><Relationship Id="rId49" Type="http://schemas.openxmlformats.org/officeDocument/2006/relationships/oleObject" Target="../embeddings/oleObject26.bin"/><Relationship Id="rId114" Type="http://schemas.openxmlformats.org/officeDocument/2006/relationships/image" Target="../media/image45.wmf"/><Relationship Id="rId119" Type="http://schemas.openxmlformats.org/officeDocument/2006/relationships/oleObject" Target="../embeddings/oleObject69.bin"/><Relationship Id="rId44" Type="http://schemas.openxmlformats.org/officeDocument/2006/relationships/oleObject" Target="../embeddings/oleObject22.bin"/><Relationship Id="rId60" Type="http://schemas.openxmlformats.org/officeDocument/2006/relationships/image" Target="../media/image24.wmf"/><Relationship Id="rId65" Type="http://schemas.openxmlformats.org/officeDocument/2006/relationships/oleObject" Target="../embeddings/oleObject36.bin"/><Relationship Id="rId81" Type="http://schemas.openxmlformats.org/officeDocument/2006/relationships/image" Target="../media/image31.wmf"/><Relationship Id="rId86" Type="http://schemas.openxmlformats.org/officeDocument/2006/relationships/oleObject" Target="../embeddings/oleObject50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wmf"/><Relationship Id="rId39" Type="http://schemas.openxmlformats.org/officeDocument/2006/relationships/image" Target="../media/image17.wmf"/><Relationship Id="rId109" Type="http://schemas.openxmlformats.org/officeDocument/2006/relationships/oleObject" Target="../embeddings/oleObject64.bin"/><Relationship Id="rId34" Type="http://schemas.openxmlformats.org/officeDocument/2006/relationships/oleObject" Target="../embeddings/oleObject17.bin"/><Relationship Id="rId50" Type="http://schemas.openxmlformats.org/officeDocument/2006/relationships/image" Target="../media/image21.wmf"/><Relationship Id="rId55" Type="http://schemas.openxmlformats.org/officeDocument/2006/relationships/oleObject" Target="../embeddings/oleObject31.bin"/><Relationship Id="rId76" Type="http://schemas.openxmlformats.org/officeDocument/2006/relationships/image" Target="../media/image29.wmf"/><Relationship Id="rId97" Type="http://schemas.openxmlformats.org/officeDocument/2006/relationships/oleObject" Target="../embeddings/oleObject57.bin"/><Relationship Id="rId104" Type="http://schemas.openxmlformats.org/officeDocument/2006/relationships/image" Target="../media/image40.wmf"/><Relationship Id="rId120" Type="http://schemas.openxmlformats.org/officeDocument/2006/relationships/image" Target="../media/image48.wmf"/><Relationship Id="rId7" Type="http://schemas.openxmlformats.org/officeDocument/2006/relationships/oleObject" Target="../embeddings/oleObject3.bin"/><Relationship Id="rId71" Type="http://schemas.openxmlformats.org/officeDocument/2006/relationships/image" Target="../media/image28.wmf"/><Relationship Id="rId92" Type="http://schemas.openxmlformats.org/officeDocument/2006/relationships/oleObject" Target="../embeddings/oleObject53.bin"/><Relationship Id="rId2" Type="http://schemas.openxmlformats.org/officeDocument/2006/relationships/drawing" Target="../drawings/drawing1.xml"/><Relationship Id="rId29" Type="http://schemas.openxmlformats.org/officeDocument/2006/relationships/image" Target="../media/image12.wmf"/><Relationship Id="rId24" Type="http://schemas.openxmlformats.org/officeDocument/2006/relationships/image" Target="../media/image10.wmf"/><Relationship Id="rId40" Type="http://schemas.openxmlformats.org/officeDocument/2006/relationships/oleObject" Target="../embeddings/oleObject20.bin"/><Relationship Id="rId45" Type="http://schemas.openxmlformats.org/officeDocument/2006/relationships/oleObject" Target="../embeddings/oleObject23.bin"/><Relationship Id="rId66" Type="http://schemas.openxmlformats.org/officeDocument/2006/relationships/image" Target="../media/image27.wmf"/><Relationship Id="rId87" Type="http://schemas.openxmlformats.org/officeDocument/2006/relationships/image" Target="../media/image34.wmf"/><Relationship Id="rId110" Type="http://schemas.openxmlformats.org/officeDocument/2006/relationships/image" Target="../media/image43.wmf"/><Relationship Id="rId115" Type="http://schemas.openxmlformats.org/officeDocument/2006/relationships/oleObject" Target="../embeddings/oleObject67.bin"/><Relationship Id="rId61" Type="http://schemas.openxmlformats.org/officeDocument/2006/relationships/oleObject" Target="../embeddings/oleObject34.bin"/><Relationship Id="rId82" Type="http://schemas.openxmlformats.org/officeDocument/2006/relationships/oleObject" Target="../embeddings/oleObject48.bin"/><Relationship Id="rId19" Type="http://schemas.openxmlformats.org/officeDocument/2006/relationships/oleObject" Target="../embeddings/oleObject9.bin"/><Relationship Id="rId14" Type="http://schemas.openxmlformats.org/officeDocument/2006/relationships/image" Target="../media/image5.wmf"/><Relationship Id="rId30" Type="http://schemas.openxmlformats.org/officeDocument/2006/relationships/oleObject" Target="../embeddings/oleObject15.bin"/><Relationship Id="rId35" Type="http://schemas.openxmlformats.org/officeDocument/2006/relationships/image" Target="../media/image15.wmf"/><Relationship Id="rId56" Type="http://schemas.openxmlformats.org/officeDocument/2006/relationships/image" Target="../media/image22.wmf"/><Relationship Id="rId77" Type="http://schemas.openxmlformats.org/officeDocument/2006/relationships/oleObject" Target="../embeddings/oleObject45.bin"/><Relationship Id="rId100" Type="http://schemas.openxmlformats.org/officeDocument/2006/relationships/image" Target="../media/image38.wmf"/><Relationship Id="rId105" Type="http://schemas.openxmlformats.org/officeDocument/2006/relationships/oleObject" Target="../embeddings/oleObject62.bin"/><Relationship Id="rId8" Type="http://schemas.openxmlformats.org/officeDocument/2006/relationships/image" Target="../media/image2.wmf"/><Relationship Id="rId51" Type="http://schemas.openxmlformats.org/officeDocument/2006/relationships/oleObject" Target="../embeddings/oleObject27.bin"/><Relationship Id="rId72" Type="http://schemas.openxmlformats.org/officeDocument/2006/relationships/oleObject" Target="../embeddings/oleObject41.bin"/><Relationship Id="rId93" Type="http://schemas.openxmlformats.org/officeDocument/2006/relationships/image" Target="../media/image37.wmf"/><Relationship Id="rId98" Type="http://schemas.openxmlformats.org/officeDocument/2006/relationships/oleObject" Target="../embeddings/oleObject58.bin"/><Relationship Id="rId121" Type="http://schemas.openxmlformats.org/officeDocument/2006/relationships/oleObject" Target="../embeddings/oleObject70.bin"/><Relationship Id="rId3" Type="http://schemas.openxmlformats.org/officeDocument/2006/relationships/vmlDrawing" Target="../drawings/vmlDrawing1.vml"/><Relationship Id="rId25" Type="http://schemas.openxmlformats.org/officeDocument/2006/relationships/oleObject" Target="../embeddings/oleObject12.bin"/><Relationship Id="rId46" Type="http://schemas.openxmlformats.org/officeDocument/2006/relationships/image" Target="../media/image20.wmf"/><Relationship Id="rId67" Type="http://schemas.openxmlformats.org/officeDocument/2006/relationships/oleObject" Target="../embeddings/oleObject37.bin"/><Relationship Id="rId116" Type="http://schemas.openxmlformats.org/officeDocument/2006/relationships/image" Target="../media/image46.wmf"/><Relationship Id="rId20" Type="http://schemas.openxmlformats.org/officeDocument/2006/relationships/image" Target="../media/image8.wmf"/><Relationship Id="rId41" Type="http://schemas.openxmlformats.org/officeDocument/2006/relationships/image" Target="../media/image18.wmf"/><Relationship Id="rId62" Type="http://schemas.openxmlformats.org/officeDocument/2006/relationships/image" Target="../media/image25.wmf"/><Relationship Id="rId83" Type="http://schemas.openxmlformats.org/officeDocument/2006/relationships/image" Target="../media/image32.wmf"/><Relationship Id="rId88" Type="http://schemas.openxmlformats.org/officeDocument/2006/relationships/oleObject" Target="../embeddings/oleObject51.bin"/><Relationship Id="rId111" Type="http://schemas.openxmlformats.org/officeDocument/2006/relationships/oleObject" Target="../embeddings/oleObject65.bin"/><Relationship Id="rId15" Type="http://schemas.openxmlformats.org/officeDocument/2006/relationships/oleObject" Target="../embeddings/oleObject7.bin"/><Relationship Id="rId36" Type="http://schemas.openxmlformats.org/officeDocument/2006/relationships/oleObject" Target="../embeddings/oleObject18.bin"/><Relationship Id="rId57" Type="http://schemas.openxmlformats.org/officeDocument/2006/relationships/oleObject" Target="../embeddings/oleObject32.bin"/><Relationship Id="rId106" Type="http://schemas.openxmlformats.org/officeDocument/2006/relationships/image" Target="../media/image41.wmf"/><Relationship Id="rId10" Type="http://schemas.openxmlformats.org/officeDocument/2006/relationships/image" Target="../media/image3.wmf"/><Relationship Id="rId31" Type="http://schemas.openxmlformats.org/officeDocument/2006/relationships/image" Target="../media/image13.wmf"/><Relationship Id="rId52" Type="http://schemas.openxmlformats.org/officeDocument/2006/relationships/oleObject" Target="../embeddings/oleObject28.bin"/><Relationship Id="rId73" Type="http://schemas.openxmlformats.org/officeDocument/2006/relationships/oleObject" Target="../embeddings/oleObject42.bin"/><Relationship Id="rId78" Type="http://schemas.openxmlformats.org/officeDocument/2006/relationships/image" Target="../media/image30.wmf"/><Relationship Id="rId94" Type="http://schemas.openxmlformats.org/officeDocument/2006/relationships/oleObject" Target="../embeddings/oleObject54.bin"/><Relationship Id="rId99" Type="http://schemas.openxmlformats.org/officeDocument/2006/relationships/oleObject" Target="../embeddings/oleObject59.bin"/><Relationship Id="rId101" Type="http://schemas.openxmlformats.org/officeDocument/2006/relationships/oleObject" Target="../embeddings/oleObject60.bin"/><Relationship Id="rId122" Type="http://schemas.openxmlformats.org/officeDocument/2006/relationships/image" Target="../media/image49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24"/>
  <sheetViews>
    <sheetView tabSelected="1" topLeftCell="A820" zoomScaleNormal="100" workbookViewId="0">
      <selection activeCell="H831" sqref="H831"/>
    </sheetView>
  </sheetViews>
  <sheetFormatPr defaultRowHeight="15.75" x14ac:dyDescent="0.25"/>
  <cols>
    <col min="1" max="1" width="7.85546875" style="2" customWidth="1"/>
    <col min="2" max="2" width="14.42578125" style="2" customWidth="1"/>
    <col min="3" max="3" width="12.42578125" style="2" customWidth="1"/>
    <col min="4" max="4" width="10.85546875" style="2" customWidth="1"/>
    <col min="5" max="5" width="13.5703125" style="2" customWidth="1"/>
    <col min="6" max="6" width="11.42578125" style="2" customWidth="1"/>
    <col min="7" max="7" width="11.5703125" style="2" customWidth="1"/>
    <col min="8" max="8" width="12.5703125" style="2" customWidth="1"/>
    <col min="9" max="9" width="13.140625" style="2" customWidth="1"/>
    <col min="10" max="10" width="9.5703125" style="2" customWidth="1"/>
    <col min="11" max="11" width="13.42578125" style="2" customWidth="1"/>
    <col min="12" max="12" width="10.7109375" style="2" customWidth="1"/>
    <col min="13" max="13" width="9.28515625" style="2" bestFit="1" customWidth="1"/>
    <col min="14" max="14" width="9.28515625" style="2" customWidth="1"/>
    <col min="15" max="15" width="12.7109375" style="2" bestFit="1" customWidth="1"/>
    <col min="16" max="16" width="10.7109375" style="2" customWidth="1"/>
    <col min="17" max="17" width="10.42578125" style="2" customWidth="1"/>
    <col min="18" max="18" width="9.140625" style="2"/>
    <col min="19" max="19" width="11.42578125" style="2" customWidth="1"/>
    <col min="20" max="20" width="12.28515625" style="2" customWidth="1"/>
    <col min="21" max="21" width="11.85546875" style="2" customWidth="1"/>
    <col min="22" max="22" width="12.5703125" style="2" customWidth="1"/>
    <col min="23" max="23" width="14.42578125" style="2" customWidth="1"/>
    <col min="24" max="25" width="9.140625" style="2"/>
    <col min="26" max="26" width="13.5703125" style="2" customWidth="1"/>
    <col min="27" max="36" width="9.140625" style="2"/>
    <col min="37" max="37" width="12.5703125" style="2" customWidth="1"/>
    <col min="38" max="16384" width="9.140625" style="2"/>
  </cols>
  <sheetData>
    <row r="1" spans="2:10" ht="22.5" x14ac:dyDescent="0.3">
      <c r="B1" s="225" t="s">
        <v>0</v>
      </c>
      <c r="C1" s="225"/>
      <c r="D1" s="225"/>
      <c r="E1" s="225"/>
      <c r="F1" s="225"/>
      <c r="G1" s="225"/>
      <c r="H1" s="225"/>
      <c r="I1" s="225"/>
      <c r="J1" s="225"/>
    </row>
    <row r="2" spans="2:10" x14ac:dyDescent="0.25">
      <c r="B2" s="2" t="s">
        <v>362</v>
      </c>
      <c r="C2" s="2">
        <v>136</v>
      </c>
    </row>
    <row r="3" spans="2:10" x14ac:dyDescent="0.25">
      <c r="B3" s="4" t="s">
        <v>1</v>
      </c>
    </row>
    <row r="4" spans="2:10" x14ac:dyDescent="0.25">
      <c r="B4" s="5" t="s">
        <v>503</v>
      </c>
      <c r="C4" s="5"/>
      <c r="D4" s="5"/>
      <c r="E4" s="5"/>
      <c r="F4" s="5"/>
      <c r="G4" s="5"/>
      <c r="H4" s="5">
        <f>C2*10000/3</f>
        <v>453333.33333333331</v>
      </c>
      <c r="I4" s="5" t="s">
        <v>2</v>
      </c>
    </row>
    <row r="5" spans="2:10" x14ac:dyDescent="0.25">
      <c r="B5" s="5" t="s">
        <v>3</v>
      </c>
      <c r="C5" s="5"/>
      <c r="D5" s="5"/>
      <c r="E5" s="5"/>
      <c r="F5" s="5"/>
      <c r="G5" s="5"/>
      <c r="H5" s="6">
        <v>12000</v>
      </c>
      <c r="I5" s="5" t="s">
        <v>2</v>
      </c>
    </row>
    <row r="6" spans="2:10" x14ac:dyDescent="0.25">
      <c r="B6" s="5" t="s">
        <v>4</v>
      </c>
      <c r="C6" s="5"/>
      <c r="D6" s="5"/>
      <c r="E6" s="5"/>
      <c r="F6" s="5"/>
      <c r="G6" s="5"/>
      <c r="H6" s="6">
        <v>582</v>
      </c>
      <c r="I6" s="5" t="s">
        <v>5</v>
      </c>
    </row>
    <row r="7" spans="2:10" x14ac:dyDescent="0.25">
      <c r="B7" s="5" t="s">
        <v>6</v>
      </c>
      <c r="C7" s="5"/>
      <c r="D7" s="5"/>
      <c r="E7" s="5"/>
      <c r="F7" s="5"/>
      <c r="G7" s="5"/>
      <c r="H7" s="6">
        <v>600</v>
      </c>
      <c r="I7" s="5" t="s">
        <v>5</v>
      </c>
    </row>
    <row r="8" spans="2:10" x14ac:dyDescent="0.25">
      <c r="B8" s="5" t="s">
        <v>7</v>
      </c>
      <c r="C8" s="5"/>
      <c r="D8" s="5"/>
      <c r="E8" s="5"/>
      <c r="F8" s="5"/>
      <c r="G8" s="5"/>
      <c r="H8" s="6">
        <v>587</v>
      </c>
      <c r="I8" s="5" t="s">
        <v>5</v>
      </c>
    </row>
    <row r="9" spans="2:10" x14ac:dyDescent="0.25">
      <c r="B9" s="5" t="s">
        <v>363</v>
      </c>
      <c r="C9" s="5"/>
      <c r="D9" s="5"/>
      <c r="E9" s="5"/>
      <c r="F9" s="5"/>
      <c r="G9" s="5"/>
      <c r="H9" s="6">
        <v>1</v>
      </c>
      <c r="I9" s="5"/>
    </row>
    <row r="10" spans="2:10" x14ac:dyDescent="0.25">
      <c r="B10" s="5" t="s">
        <v>364</v>
      </c>
      <c r="C10" s="5"/>
      <c r="D10" s="5"/>
      <c r="E10" s="5"/>
      <c r="F10" s="5"/>
      <c r="G10" s="5"/>
      <c r="H10" s="6">
        <v>2</v>
      </c>
      <c r="I10" s="5"/>
    </row>
    <row r="11" spans="2:10" x14ac:dyDescent="0.25">
      <c r="B11" s="5" t="s">
        <v>8</v>
      </c>
      <c r="C11" s="5"/>
      <c r="D11" s="5"/>
      <c r="E11" s="5"/>
      <c r="F11" s="5"/>
      <c r="G11" s="5"/>
      <c r="H11" s="6">
        <v>3500</v>
      </c>
      <c r="I11" s="5" t="s">
        <v>2</v>
      </c>
    </row>
    <row r="12" spans="2:10" x14ac:dyDescent="0.25">
      <c r="B12" s="5" t="s">
        <v>9</v>
      </c>
      <c r="C12" s="5"/>
      <c r="D12" s="5"/>
      <c r="E12" s="5"/>
      <c r="F12" s="5"/>
      <c r="G12" s="5"/>
      <c r="H12" s="5">
        <v>1</v>
      </c>
      <c r="I12" s="5" t="s">
        <v>10</v>
      </c>
      <c r="J12" s="2">
        <f>1/5280</f>
        <v>1.8939393939393939E-4</v>
      </c>
    </row>
    <row r="13" spans="2:10" x14ac:dyDescent="0.25">
      <c r="B13" s="5"/>
      <c r="C13" s="5"/>
      <c r="D13" s="5"/>
      <c r="E13" s="5"/>
      <c r="F13" s="5"/>
      <c r="G13" s="5"/>
      <c r="H13" s="5">
        <f>1/5280</f>
        <v>1.8939393939393939E-4</v>
      </c>
      <c r="I13" s="5"/>
    </row>
    <row r="14" spans="2:10" x14ac:dyDescent="0.25">
      <c r="B14" s="5" t="s">
        <v>506</v>
      </c>
      <c r="C14" s="5"/>
      <c r="D14" s="5"/>
      <c r="E14" s="5"/>
      <c r="F14" s="5"/>
      <c r="G14" s="5"/>
      <c r="H14" s="5">
        <v>1.8</v>
      </c>
      <c r="I14" s="5"/>
    </row>
    <row r="15" spans="2:10" x14ac:dyDescent="0.25">
      <c r="B15" s="5"/>
      <c r="C15" s="5"/>
      <c r="D15" s="5"/>
      <c r="E15" s="5"/>
      <c r="F15" s="5"/>
      <c r="G15" s="5"/>
      <c r="H15" s="5"/>
      <c r="I15" s="5"/>
    </row>
    <row r="16" spans="2:10" x14ac:dyDescent="0.25">
      <c r="B16" s="5"/>
      <c r="C16" s="5"/>
      <c r="D16" s="5"/>
      <c r="E16" s="5"/>
      <c r="F16" s="5"/>
      <c r="G16" s="5"/>
      <c r="H16" s="5"/>
      <c r="I16" s="5"/>
    </row>
    <row r="17" spans="2:9" x14ac:dyDescent="0.25">
      <c r="B17" s="5"/>
      <c r="C17" s="5"/>
      <c r="D17" s="5"/>
      <c r="E17" s="5"/>
      <c r="F17" s="5"/>
      <c r="G17" s="5"/>
      <c r="H17" s="5"/>
      <c r="I17" s="5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  <row r="19" spans="2:9" x14ac:dyDescent="0.25">
      <c r="B19" s="5"/>
      <c r="C19" s="5"/>
      <c r="D19" s="5"/>
      <c r="E19" s="5"/>
      <c r="F19" s="5"/>
      <c r="G19" s="5"/>
      <c r="H19" s="5"/>
      <c r="I19" s="5"/>
    </row>
    <row r="20" spans="2:9" x14ac:dyDescent="0.25">
      <c r="B20" s="5"/>
      <c r="C20" s="5"/>
      <c r="D20" s="5"/>
      <c r="E20" s="5"/>
      <c r="F20" s="5"/>
      <c r="G20" s="5"/>
      <c r="H20" s="5"/>
      <c r="I20" s="5"/>
    </row>
    <row r="21" spans="2:9" x14ac:dyDescent="0.25">
      <c r="B21" s="5"/>
      <c r="C21" s="5"/>
      <c r="D21" s="5"/>
      <c r="E21" s="5"/>
      <c r="F21" s="5"/>
      <c r="G21" s="5"/>
      <c r="H21" s="5"/>
      <c r="I21" s="5"/>
    </row>
    <row r="22" spans="2:9" x14ac:dyDescent="0.25">
      <c r="B22" s="5"/>
      <c r="C22" s="5"/>
      <c r="D22" s="5"/>
      <c r="E22" s="5"/>
      <c r="F22" s="5"/>
      <c r="G22" s="5"/>
      <c r="H22" s="5"/>
      <c r="I22" s="5"/>
    </row>
    <row r="23" spans="2:9" x14ac:dyDescent="0.25">
      <c r="B23" s="5"/>
      <c r="C23" s="5"/>
      <c r="D23" s="5"/>
      <c r="E23" s="5"/>
      <c r="F23" s="5"/>
      <c r="G23" s="5"/>
      <c r="H23" s="5"/>
      <c r="I23" s="5"/>
    </row>
    <row r="24" spans="2:9" x14ac:dyDescent="0.25">
      <c r="B24" s="5"/>
      <c r="C24" s="5"/>
      <c r="D24" s="5"/>
      <c r="E24" s="5"/>
      <c r="F24" s="5"/>
      <c r="G24" s="5"/>
      <c r="H24" s="5"/>
      <c r="I24" s="5"/>
    </row>
    <row r="25" spans="2:9" x14ac:dyDescent="0.25">
      <c r="B25" s="5"/>
      <c r="C25" s="5"/>
      <c r="D25" s="5"/>
      <c r="E25" s="5"/>
      <c r="F25" s="5"/>
      <c r="G25" s="5"/>
      <c r="H25" s="5"/>
      <c r="I25" s="5"/>
    </row>
    <row r="26" spans="2:9" x14ac:dyDescent="0.25">
      <c r="B26" s="5"/>
      <c r="C26" s="5"/>
      <c r="D26" s="5"/>
      <c r="E26" s="5"/>
      <c r="F26" s="5"/>
      <c r="G26" s="5"/>
      <c r="H26" s="5"/>
      <c r="I26" s="5"/>
    </row>
    <row r="27" spans="2:9" x14ac:dyDescent="0.25">
      <c r="B27" s="5"/>
      <c r="C27" s="5"/>
      <c r="D27" s="5"/>
      <c r="E27" s="5"/>
      <c r="F27" s="5"/>
      <c r="G27" s="5"/>
      <c r="H27" s="5"/>
      <c r="I27" s="5"/>
    </row>
    <row r="28" spans="2:9" x14ac:dyDescent="0.25">
      <c r="B28" s="7"/>
      <c r="H28" s="7"/>
      <c r="I28" s="7"/>
    </row>
    <row r="29" spans="2:9" x14ac:dyDescent="0.25">
      <c r="B29" s="4" t="s">
        <v>11</v>
      </c>
    </row>
    <row r="30" spans="2:9" x14ac:dyDescent="0.25">
      <c r="B30" s="2" t="s">
        <v>12</v>
      </c>
      <c r="H30" s="8">
        <f>2.67*SQRT(H4)</f>
        <v>1797.7118790284499</v>
      </c>
      <c r="I30" s="2" t="s">
        <v>5</v>
      </c>
    </row>
    <row r="31" spans="2:9" x14ac:dyDescent="0.25">
      <c r="B31" s="2" t="s">
        <v>13</v>
      </c>
      <c r="H31" s="8">
        <f>H14*H30</f>
        <v>3235.8813822512097</v>
      </c>
      <c r="I31" s="2" t="s">
        <v>5</v>
      </c>
    </row>
    <row r="32" spans="2:9" x14ac:dyDescent="0.25">
      <c r="B32" s="5" t="s">
        <v>14</v>
      </c>
      <c r="C32" s="5"/>
      <c r="D32" s="5"/>
      <c r="E32" s="5"/>
      <c r="F32" s="5"/>
      <c r="G32" s="5"/>
      <c r="H32" s="5">
        <v>50</v>
      </c>
      <c r="I32" s="5"/>
    </row>
    <row r="33" spans="2:9" x14ac:dyDescent="0.25">
      <c r="B33" s="5" t="s">
        <v>15</v>
      </c>
      <c r="C33" s="5"/>
      <c r="D33" s="5"/>
      <c r="E33" s="5"/>
      <c r="F33" s="5"/>
      <c r="G33" s="5"/>
      <c r="H33" s="5">
        <v>60</v>
      </c>
      <c r="I33" s="5" t="s">
        <v>5</v>
      </c>
    </row>
    <row r="34" spans="2:9" x14ac:dyDescent="0.25">
      <c r="B34" s="5" t="s">
        <v>16</v>
      </c>
      <c r="C34" s="5"/>
      <c r="D34" s="5"/>
      <c r="E34" s="5"/>
      <c r="F34" s="5"/>
      <c r="G34" s="5"/>
      <c r="H34" s="5">
        <v>1</v>
      </c>
      <c r="I34" s="5"/>
    </row>
    <row r="35" spans="2:9" x14ac:dyDescent="0.25">
      <c r="B35" s="5" t="s">
        <v>17</v>
      </c>
      <c r="C35" s="5"/>
      <c r="D35" s="5"/>
      <c r="E35" s="5"/>
      <c r="F35" s="5"/>
      <c r="G35" s="5"/>
      <c r="H35" s="5">
        <v>26</v>
      </c>
      <c r="I35" s="5" t="s">
        <v>5</v>
      </c>
    </row>
    <row r="36" spans="2:9" x14ac:dyDescent="0.25">
      <c r="B36" s="5" t="s">
        <v>18</v>
      </c>
      <c r="C36" s="5"/>
      <c r="D36" s="5"/>
      <c r="E36" s="5"/>
      <c r="F36" s="5"/>
      <c r="G36" s="5"/>
      <c r="H36" s="5">
        <v>2</v>
      </c>
      <c r="I36" s="5"/>
    </row>
    <row r="37" spans="2:9" x14ac:dyDescent="0.25">
      <c r="B37" s="5" t="s">
        <v>19</v>
      </c>
      <c r="C37" s="5"/>
      <c r="D37" s="5"/>
      <c r="E37" s="5"/>
      <c r="F37" s="5"/>
      <c r="G37" s="5"/>
      <c r="H37" s="5">
        <v>15</v>
      </c>
      <c r="I37" s="5" t="s">
        <v>5</v>
      </c>
    </row>
    <row r="38" spans="2:9" x14ac:dyDescent="0.25">
      <c r="B38" s="5" t="s">
        <v>366</v>
      </c>
      <c r="C38" s="5"/>
      <c r="D38" s="5"/>
      <c r="E38" s="5"/>
      <c r="F38" s="5"/>
      <c r="G38" s="5"/>
      <c r="H38" s="5">
        <v>7</v>
      </c>
      <c r="I38" s="5" t="s">
        <v>5</v>
      </c>
    </row>
    <row r="39" spans="2:9" x14ac:dyDescent="0.25">
      <c r="B39" s="2" t="s">
        <v>20</v>
      </c>
      <c r="H39" s="2">
        <f>H32+1-2-H36</f>
        <v>47</v>
      </c>
    </row>
    <row r="40" spans="2:9" x14ac:dyDescent="0.25">
      <c r="B40" s="2" t="s">
        <v>21</v>
      </c>
      <c r="H40" s="2">
        <f>H39*H38</f>
        <v>329</v>
      </c>
      <c r="I40" s="2" t="s">
        <v>5</v>
      </c>
    </row>
    <row r="41" spans="2:9" x14ac:dyDescent="0.25">
      <c r="B41" s="2" t="s">
        <v>508</v>
      </c>
      <c r="H41" s="2">
        <f>H32*H33</f>
        <v>3000</v>
      </c>
      <c r="I41" s="2" t="s">
        <v>5</v>
      </c>
    </row>
    <row r="42" spans="2:9" x14ac:dyDescent="0.25">
      <c r="B42" s="2" t="s">
        <v>365</v>
      </c>
      <c r="H42" s="2">
        <f>H36*H37</f>
        <v>30</v>
      </c>
      <c r="I42" s="2" t="s">
        <v>5</v>
      </c>
    </row>
    <row r="43" spans="2:9" x14ac:dyDescent="0.25">
      <c r="B43" s="2" t="s">
        <v>507</v>
      </c>
      <c r="H43" s="2">
        <f>H40+H41+H37*H36+H35*H34</f>
        <v>3385</v>
      </c>
      <c r="I43" s="2" t="s">
        <v>5</v>
      </c>
    </row>
    <row r="44" spans="2:9" x14ac:dyDescent="0.25">
      <c r="B44" s="2" t="s">
        <v>377</v>
      </c>
      <c r="H44" s="9">
        <f>H4/H43</f>
        <v>133.92417528311177</v>
      </c>
      <c r="I44" s="2" t="s">
        <v>22</v>
      </c>
    </row>
    <row r="45" spans="2:9" x14ac:dyDescent="0.25">
      <c r="B45" s="2" t="s">
        <v>367</v>
      </c>
      <c r="H45" s="9">
        <f>H4/H41</f>
        <v>151.11111111111111</v>
      </c>
      <c r="I45" s="2" t="s">
        <v>22</v>
      </c>
    </row>
    <row r="47" spans="2:9" x14ac:dyDescent="0.25">
      <c r="B47" s="4" t="s">
        <v>23</v>
      </c>
    </row>
    <row r="48" spans="2:9" x14ac:dyDescent="0.25">
      <c r="B48" s="2" t="s">
        <v>24</v>
      </c>
    </row>
    <row r="49" spans="2:9" x14ac:dyDescent="0.25">
      <c r="B49" s="2" t="s">
        <v>25</v>
      </c>
      <c r="H49" s="9">
        <f>POWER((H12/5280*1844*POWER(H4,1/6)),3/5)</f>
        <v>1.9566716917497338</v>
      </c>
    </row>
    <row r="51" spans="2:9" x14ac:dyDescent="0.25">
      <c r="B51" s="4" t="s">
        <v>26</v>
      </c>
    </row>
    <row r="52" spans="2:9" x14ac:dyDescent="0.25">
      <c r="B52" s="5" t="s">
        <v>27</v>
      </c>
      <c r="C52" s="5"/>
      <c r="D52" s="5"/>
      <c r="E52" s="5"/>
      <c r="F52" s="5"/>
      <c r="G52" s="5"/>
      <c r="H52" s="5">
        <v>3</v>
      </c>
      <c r="I52" s="5" t="s">
        <v>5</v>
      </c>
    </row>
    <row r="53" spans="2:9" x14ac:dyDescent="0.25">
      <c r="B53" s="5" t="s">
        <v>28</v>
      </c>
      <c r="C53" s="5"/>
      <c r="D53" s="5"/>
      <c r="E53" s="5"/>
      <c r="F53" s="5"/>
      <c r="G53" s="5"/>
      <c r="H53" s="5">
        <v>6</v>
      </c>
      <c r="I53" s="5" t="s">
        <v>5</v>
      </c>
    </row>
    <row r="54" spans="2:9" x14ac:dyDescent="0.25">
      <c r="B54" s="2" t="s">
        <v>29</v>
      </c>
      <c r="H54" s="9">
        <f>0.9*POWER((POWER(H44,2)/H49),1/3)</f>
        <v>18.835443152806977</v>
      </c>
      <c r="I54" s="2" t="s">
        <v>5</v>
      </c>
    </row>
    <row r="55" spans="2:9" x14ac:dyDescent="0.25">
      <c r="B55" s="2" t="s">
        <v>30</v>
      </c>
      <c r="H55" s="9">
        <f>H54-H53</f>
        <v>12.835443152806977</v>
      </c>
      <c r="I55" s="2" t="s">
        <v>5</v>
      </c>
    </row>
    <row r="56" spans="2:9" x14ac:dyDescent="0.25">
      <c r="B56" s="2" t="s">
        <v>31</v>
      </c>
      <c r="H56" s="9">
        <f>H44/H54</f>
        <v>7.1102216282685937</v>
      </c>
      <c r="I56" s="2" t="s">
        <v>32</v>
      </c>
    </row>
    <row r="57" spans="2:9" x14ac:dyDescent="0.25">
      <c r="B57" s="2" t="s">
        <v>33</v>
      </c>
      <c r="H57" s="9">
        <f>(H56^2)/(2*32.2)</f>
        <v>0.78501943483072179</v>
      </c>
      <c r="I57" s="2" t="s">
        <v>5</v>
      </c>
    </row>
    <row r="58" spans="2:9" x14ac:dyDescent="0.25">
      <c r="B58" s="2" t="s">
        <v>34</v>
      </c>
      <c r="H58" s="9">
        <f>H55+H57</f>
        <v>13.6204625876377</v>
      </c>
      <c r="I58" s="2" t="s">
        <v>5</v>
      </c>
    </row>
    <row r="59" spans="2:9" x14ac:dyDescent="0.25">
      <c r="B59" s="2" t="s">
        <v>35</v>
      </c>
      <c r="H59" s="9">
        <f>H7-H6</f>
        <v>18</v>
      </c>
      <c r="I59" s="2" t="s">
        <v>5</v>
      </c>
    </row>
    <row r="60" spans="2:9" x14ac:dyDescent="0.25">
      <c r="B60" s="2" t="s">
        <v>36</v>
      </c>
      <c r="H60" s="9">
        <f>H59+H57+H52</f>
        <v>21.785019434830723</v>
      </c>
      <c r="I60" s="2" t="s">
        <v>5</v>
      </c>
    </row>
    <row r="61" spans="2:9" x14ac:dyDescent="0.25">
      <c r="B61" s="2" t="s">
        <v>37</v>
      </c>
      <c r="H61" s="9">
        <f>H6+H60</f>
        <v>603.7850194348307</v>
      </c>
      <c r="I61" s="2" t="s">
        <v>5</v>
      </c>
    </row>
    <row r="62" spans="2:9" x14ac:dyDescent="0.25">
      <c r="B62" s="2" t="s">
        <v>38</v>
      </c>
      <c r="H62" s="9">
        <f>H61-H58</f>
        <v>590.16455684719301</v>
      </c>
      <c r="I62" s="2" t="s">
        <v>5</v>
      </c>
    </row>
    <row r="63" spans="2:9" x14ac:dyDescent="0.25">
      <c r="B63" s="2" t="s">
        <v>378</v>
      </c>
      <c r="H63" s="10">
        <f>H7</f>
        <v>600</v>
      </c>
      <c r="I63" s="2" t="s">
        <v>5</v>
      </c>
    </row>
    <row r="64" spans="2:9" x14ac:dyDescent="0.25">
      <c r="B64" s="2" t="s">
        <v>368</v>
      </c>
      <c r="H64" s="9">
        <f>H63-H62</f>
        <v>9.8354431528069881</v>
      </c>
      <c r="I64" s="2" t="s">
        <v>5</v>
      </c>
    </row>
    <row r="65" spans="2:9" x14ac:dyDescent="0.25">
      <c r="B65" s="2" t="s">
        <v>40</v>
      </c>
      <c r="H65" s="9">
        <f>H64/H58</f>
        <v>0.7221078645107033</v>
      </c>
    </row>
    <row r="66" spans="2:9" x14ac:dyDescent="0.25">
      <c r="B66" s="3" t="s">
        <v>39</v>
      </c>
      <c r="H66" s="9"/>
    </row>
    <row r="67" spans="2:9" x14ac:dyDescent="0.25">
      <c r="B67" s="5" t="s">
        <v>41</v>
      </c>
      <c r="C67" s="5"/>
      <c r="D67" s="5"/>
      <c r="E67" s="5"/>
      <c r="F67" s="5"/>
      <c r="G67" s="5"/>
      <c r="H67" s="10">
        <v>0.85</v>
      </c>
      <c r="I67" s="5"/>
    </row>
    <row r="68" spans="2:9" x14ac:dyDescent="0.25">
      <c r="B68" s="5" t="s">
        <v>369</v>
      </c>
      <c r="C68" s="5"/>
      <c r="D68" s="5"/>
      <c r="E68" s="5"/>
      <c r="F68" s="5"/>
      <c r="G68" s="5"/>
      <c r="H68" s="5">
        <v>3.8</v>
      </c>
      <c r="I68" s="5"/>
    </row>
    <row r="69" spans="2:9" x14ac:dyDescent="0.25">
      <c r="B69" s="2" t="s">
        <v>42</v>
      </c>
      <c r="H69" s="9">
        <f>H67*H68</f>
        <v>3.23</v>
      </c>
    </row>
    <row r="71" spans="2:9" x14ac:dyDescent="0.25">
      <c r="B71" s="2" t="s">
        <v>43</v>
      </c>
      <c r="H71" s="8">
        <f>H69*H41*POWER(H58,3/2)</f>
        <v>487092.63563079439</v>
      </c>
      <c r="I71" s="2" t="s">
        <v>2</v>
      </c>
    </row>
    <row r="72" spans="2:9" x14ac:dyDescent="0.25">
      <c r="H72" s="11" t="str">
        <f>IF(H71&gt;H4,"O.K","NOT O.K")</f>
        <v>O.K</v>
      </c>
    </row>
    <row r="73" spans="2:9" x14ac:dyDescent="0.25">
      <c r="B73" s="2" t="s">
        <v>370</v>
      </c>
      <c r="H73" s="12">
        <f>H43/H30</f>
        <v>1.8829491196494621</v>
      </c>
    </row>
    <row r="74" spans="2:9" ht="253.5" customHeight="1" x14ac:dyDescent="0.25">
      <c r="H74" s="12"/>
    </row>
    <row r="75" spans="2:9" ht="253.5" customHeight="1" x14ac:dyDescent="0.25">
      <c r="H75" s="12"/>
    </row>
    <row r="76" spans="2:9" x14ac:dyDescent="0.25">
      <c r="B76" s="4" t="s">
        <v>44</v>
      </c>
    </row>
    <row r="78" spans="2:9" x14ac:dyDescent="0.25">
      <c r="B78" s="5" t="s">
        <v>371</v>
      </c>
      <c r="C78" s="5"/>
      <c r="D78" s="5"/>
      <c r="E78" s="5"/>
      <c r="F78" s="5"/>
      <c r="G78" s="5"/>
      <c r="H78" s="5">
        <v>3</v>
      </c>
      <c r="I78" s="5" t="s">
        <v>5</v>
      </c>
    </row>
    <row r="79" spans="2:9" x14ac:dyDescent="0.25">
      <c r="B79" s="5" t="s">
        <v>45</v>
      </c>
      <c r="C79" s="5"/>
      <c r="D79" s="5"/>
      <c r="E79" s="5"/>
      <c r="F79" s="5"/>
      <c r="G79" s="5"/>
      <c r="H79" s="5">
        <v>2</v>
      </c>
      <c r="I79" s="5"/>
    </row>
    <row r="80" spans="2:9" x14ac:dyDescent="0.25">
      <c r="B80" s="5" t="s">
        <v>375</v>
      </c>
      <c r="C80" s="5"/>
      <c r="D80" s="5"/>
      <c r="E80" s="5"/>
      <c r="F80" s="5"/>
      <c r="G80" s="5"/>
      <c r="H80" s="5">
        <v>5</v>
      </c>
      <c r="I80" s="5"/>
    </row>
    <row r="81" spans="2:9" x14ac:dyDescent="0.25">
      <c r="B81" s="5" t="s">
        <v>372</v>
      </c>
      <c r="C81" s="5"/>
      <c r="D81" s="5"/>
      <c r="E81" s="5"/>
      <c r="F81" s="5"/>
      <c r="G81" s="5"/>
      <c r="H81" s="5">
        <v>120</v>
      </c>
      <c r="I81" s="5" t="s">
        <v>46</v>
      </c>
    </row>
    <row r="82" spans="2:9" x14ac:dyDescent="0.25">
      <c r="B82" s="2" t="s">
        <v>47</v>
      </c>
      <c r="H82" s="9">
        <f>H62-3</f>
        <v>587.16455684719301</v>
      </c>
      <c r="I82" s="2" t="s">
        <v>5</v>
      </c>
    </row>
    <row r="83" spans="2:9" x14ac:dyDescent="0.25">
      <c r="B83" s="2" t="s">
        <v>373</v>
      </c>
      <c r="H83" s="2">
        <f>H80*H33*H79</f>
        <v>600</v>
      </c>
      <c r="I83" s="2" t="s">
        <v>5</v>
      </c>
    </row>
    <row r="84" spans="2:9" x14ac:dyDescent="0.25">
      <c r="B84" s="2" t="s">
        <v>379</v>
      </c>
      <c r="H84" s="2">
        <f>(H81/100)*H45</f>
        <v>181.33333333333334</v>
      </c>
      <c r="I84" s="2" t="s">
        <v>22</v>
      </c>
    </row>
    <row r="85" spans="2:9" x14ac:dyDescent="0.25">
      <c r="B85" s="2" t="s">
        <v>509</v>
      </c>
      <c r="H85" s="9">
        <f>0.9*POWER((POWER(H84,2)/H49),1/3)</f>
        <v>23.052690458655761</v>
      </c>
      <c r="I85" s="2" t="s">
        <v>5</v>
      </c>
    </row>
    <row r="86" spans="2:9" x14ac:dyDescent="0.25">
      <c r="B86" s="5" t="s">
        <v>48</v>
      </c>
      <c r="C86" s="5"/>
      <c r="D86" s="5"/>
      <c r="E86" s="5"/>
      <c r="F86" s="5"/>
      <c r="G86" s="5"/>
      <c r="H86" s="13">
        <f>H85</f>
        <v>23.052690458655761</v>
      </c>
      <c r="I86" s="5" t="s">
        <v>5</v>
      </c>
    </row>
    <row r="87" spans="2:9" x14ac:dyDescent="0.25">
      <c r="B87" s="2" t="s">
        <v>380</v>
      </c>
      <c r="H87" s="9">
        <f>H84/H85</f>
        <v>7.8660377476784626</v>
      </c>
      <c r="I87" s="2" t="s">
        <v>49</v>
      </c>
    </row>
    <row r="88" spans="2:9" x14ac:dyDescent="0.25">
      <c r="B88" s="2" t="s">
        <v>33</v>
      </c>
      <c r="H88" s="9">
        <f>H87^2/(2*32.2)</f>
        <v>0.96078493552643573</v>
      </c>
      <c r="I88" s="2" t="s">
        <v>5</v>
      </c>
    </row>
    <row r="89" spans="2:9" x14ac:dyDescent="0.25">
      <c r="B89" s="2" t="s">
        <v>50</v>
      </c>
      <c r="H89" s="9">
        <f>H7+H52+H88</f>
        <v>603.96078493552648</v>
      </c>
      <c r="I89" s="2" t="s">
        <v>5</v>
      </c>
    </row>
    <row r="90" spans="2:9" x14ac:dyDescent="0.25">
      <c r="B90" s="2" t="s">
        <v>51</v>
      </c>
      <c r="H90" s="9">
        <f>H89-H82</f>
        <v>16.796228088333464</v>
      </c>
      <c r="I90" s="2" t="s">
        <v>5</v>
      </c>
    </row>
    <row r="91" spans="2:9" x14ac:dyDescent="0.25">
      <c r="B91" s="2" t="s">
        <v>52</v>
      </c>
      <c r="H91" s="9">
        <f>H89-H52-H82</f>
        <v>13.796228088333464</v>
      </c>
      <c r="I91" s="2" t="s">
        <v>5</v>
      </c>
    </row>
    <row r="92" spans="2:9" x14ac:dyDescent="0.25">
      <c r="B92" s="2" t="s">
        <v>53</v>
      </c>
      <c r="H92" s="9">
        <f>H91/H90</f>
        <v>0.82138846982652147</v>
      </c>
    </row>
    <row r="93" spans="2:9" x14ac:dyDescent="0.25">
      <c r="B93" s="3" t="s">
        <v>39</v>
      </c>
      <c r="H93" s="9"/>
    </row>
    <row r="94" spans="2:9" x14ac:dyDescent="0.25">
      <c r="B94" s="5" t="s">
        <v>41</v>
      </c>
      <c r="C94" s="5"/>
      <c r="D94" s="5"/>
      <c r="E94" s="5"/>
      <c r="F94" s="5"/>
      <c r="G94" s="5"/>
      <c r="H94" s="5">
        <v>0.79</v>
      </c>
      <c r="I94" s="5"/>
    </row>
    <row r="95" spans="2:9" x14ac:dyDescent="0.25">
      <c r="B95" s="2" t="s">
        <v>42</v>
      </c>
      <c r="H95" s="9">
        <f>H94*H68</f>
        <v>3.0019999999999998</v>
      </c>
    </row>
    <row r="97" spans="1:23" x14ac:dyDescent="0.25">
      <c r="B97" s="2" t="s">
        <v>381</v>
      </c>
      <c r="H97" s="8">
        <f>H95*H83*POWER(H90,3/2)</f>
        <v>123987.97975165413</v>
      </c>
      <c r="I97" s="2" t="s">
        <v>2</v>
      </c>
    </row>
    <row r="98" spans="1:23" x14ac:dyDescent="0.25">
      <c r="B98" s="14" t="s">
        <v>382</v>
      </c>
      <c r="H98" s="8">
        <f>H69*(H41-H83)*POWER(H58,3/2)</f>
        <v>389674.10850463551</v>
      </c>
      <c r="I98" s="2" t="s">
        <v>2</v>
      </c>
    </row>
    <row r="99" spans="1:23" x14ac:dyDescent="0.25">
      <c r="B99" s="2" t="s">
        <v>383</v>
      </c>
      <c r="G99" s="11" t="str">
        <f>IF(H99&gt;H4,"O.K","NOT O.K")</f>
        <v>O.K</v>
      </c>
      <c r="H99" s="8">
        <f>H98+H97</f>
        <v>513662.08825628966</v>
      </c>
      <c r="I99" s="2" t="s">
        <v>2</v>
      </c>
    </row>
    <row r="100" spans="1:23" x14ac:dyDescent="0.25">
      <c r="B100" s="15" t="s">
        <v>374</v>
      </c>
      <c r="H100" s="16">
        <f>H97/H98*100</f>
        <v>31.818377727854397</v>
      </c>
      <c r="I100" s="2" t="s">
        <v>46</v>
      </c>
      <c r="J100" s="17">
        <f>IF(H99&gt;H4,1)</f>
        <v>1</v>
      </c>
    </row>
    <row r="101" spans="1:23" x14ac:dyDescent="0.25">
      <c r="B101" s="2" t="s">
        <v>54</v>
      </c>
    </row>
    <row r="102" spans="1:23" x14ac:dyDescent="0.25">
      <c r="B102" s="2" t="s">
        <v>55</v>
      </c>
      <c r="H102" s="9">
        <f>IF(J100=1,H82,"Revise")</f>
        <v>587.16455684719301</v>
      </c>
      <c r="I102" s="2" t="s">
        <v>5</v>
      </c>
    </row>
    <row r="103" spans="1:23" x14ac:dyDescent="0.25">
      <c r="B103" s="2" t="s">
        <v>56</v>
      </c>
      <c r="H103" s="2">
        <f>IF(J100=1,H80,"Revise")</f>
        <v>5</v>
      </c>
    </row>
    <row r="105" spans="1:23" x14ac:dyDescent="0.25">
      <c r="B105" s="4" t="s">
        <v>57</v>
      </c>
    </row>
    <row r="107" spans="1:23" ht="16.5" thickBot="1" x14ac:dyDescent="0.3">
      <c r="A107" s="7"/>
      <c r="B107" s="44" t="s">
        <v>58</v>
      </c>
      <c r="C107" s="7"/>
    </row>
    <row r="108" spans="1:23" s="11" customFormat="1" ht="17.25" x14ac:dyDescent="0.25">
      <c r="A108" s="191" t="s">
        <v>46</v>
      </c>
      <c r="B108" s="174" t="s">
        <v>59</v>
      </c>
      <c r="C108" s="174" t="s">
        <v>442</v>
      </c>
      <c r="D108" s="148" t="s">
        <v>27</v>
      </c>
      <c r="E108" s="148" t="s">
        <v>61</v>
      </c>
      <c r="F108" s="148" t="s">
        <v>451</v>
      </c>
      <c r="G108" s="148" t="s">
        <v>454</v>
      </c>
      <c r="H108" s="148" t="s">
        <v>456</v>
      </c>
      <c r="I108" s="148" t="s">
        <v>443</v>
      </c>
      <c r="J108" s="148" t="s">
        <v>455</v>
      </c>
      <c r="K108" s="148" t="s">
        <v>457</v>
      </c>
      <c r="L108" s="148" t="s">
        <v>458</v>
      </c>
      <c r="M108" s="148" t="s">
        <v>459</v>
      </c>
      <c r="N108" s="148" t="s">
        <v>65</v>
      </c>
      <c r="O108" s="221" t="s">
        <v>460</v>
      </c>
      <c r="P108" s="223" t="s">
        <v>69</v>
      </c>
      <c r="Q108" s="221" t="s">
        <v>70</v>
      </c>
      <c r="R108" s="148" t="s">
        <v>461</v>
      </c>
      <c r="S108" s="148" t="s">
        <v>462</v>
      </c>
      <c r="T108" s="148" t="s">
        <v>59</v>
      </c>
      <c r="U108" s="234" t="s">
        <v>444</v>
      </c>
      <c r="V108" s="226" t="s">
        <v>465</v>
      </c>
      <c r="W108" s="11" t="s">
        <v>483</v>
      </c>
    </row>
    <row r="109" spans="1:23" s="129" customFormat="1" ht="15.75" customHeight="1" x14ac:dyDescent="0.15">
      <c r="A109" s="192"/>
      <c r="B109" s="147"/>
      <c r="C109" s="147"/>
      <c r="D109" s="147"/>
      <c r="E109" s="147" t="s">
        <v>453</v>
      </c>
      <c r="F109" s="147" t="s">
        <v>452</v>
      </c>
      <c r="G109" s="147"/>
      <c r="H109" s="147" t="s">
        <v>445</v>
      </c>
      <c r="I109" s="147" t="s">
        <v>477</v>
      </c>
      <c r="J109" s="147" t="s">
        <v>478</v>
      </c>
      <c r="K109" s="147" t="s">
        <v>479</v>
      </c>
      <c r="L109" s="147" t="s">
        <v>446</v>
      </c>
      <c r="M109" s="147" t="s">
        <v>480</v>
      </c>
      <c r="N109" s="147" t="s">
        <v>447</v>
      </c>
      <c r="O109" s="222"/>
      <c r="P109" s="224"/>
      <c r="Q109" s="222"/>
      <c r="R109" s="222" t="s">
        <v>463</v>
      </c>
      <c r="S109" s="147" t="s">
        <v>481</v>
      </c>
      <c r="T109" s="220" t="s">
        <v>482</v>
      </c>
      <c r="U109" s="235"/>
      <c r="V109" s="227"/>
    </row>
    <row r="110" spans="1:23" s="11" customFormat="1" ht="16.5" x14ac:dyDescent="0.25">
      <c r="A110" s="156"/>
      <c r="B110" s="130" t="s">
        <v>464</v>
      </c>
      <c r="C110" s="149" t="s">
        <v>5</v>
      </c>
      <c r="D110" s="149" t="s">
        <v>5</v>
      </c>
      <c r="E110" s="149" t="s">
        <v>5</v>
      </c>
      <c r="F110" s="149" t="s">
        <v>5</v>
      </c>
      <c r="G110" s="149"/>
      <c r="H110" s="149" t="s">
        <v>463</v>
      </c>
      <c r="I110" s="149" t="s">
        <v>49</v>
      </c>
      <c r="J110" s="149" t="s">
        <v>49</v>
      </c>
      <c r="K110" s="149" t="s">
        <v>5</v>
      </c>
      <c r="L110" s="149" t="s">
        <v>5</v>
      </c>
      <c r="M110" s="149" t="s">
        <v>5</v>
      </c>
      <c r="N110" s="149" t="s">
        <v>5</v>
      </c>
      <c r="O110" s="222"/>
      <c r="P110" s="224"/>
      <c r="Q110" s="222"/>
      <c r="R110" s="222"/>
      <c r="S110" s="149" t="s">
        <v>464</v>
      </c>
      <c r="T110" s="220"/>
      <c r="U110" s="235"/>
      <c r="V110" s="228"/>
    </row>
    <row r="111" spans="1:23" ht="23.25" customHeight="1" x14ac:dyDescent="0.25">
      <c r="A111" s="217" t="s">
        <v>448</v>
      </c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9"/>
      <c r="U111" s="171"/>
      <c r="V111" s="172"/>
      <c r="W111" s="2" t="s">
        <v>484</v>
      </c>
    </row>
    <row r="112" spans="1:23" x14ac:dyDescent="0.25">
      <c r="A112" s="193">
        <v>1.2</v>
      </c>
      <c r="B112" s="194">
        <f>1.2*$H$4</f>
        <v>544000</v>
      </c>
      <c r="C112" s="195">
        <v>600</v>
      </c>
      <c r="D112" s="196">
        <v>4</v>
      </c>
      <c r="E112" s="196">
        <f>C112+D112</f>
        <v>604</v>
      </c>
      <c r="F112" s="196">
        <f>E112-$H$6</f>
        <v>22</v>
      </c>
      <c r="G112" s="194">
        <f>POWER(($H$12/5280*1844*POWER(B112,1/6)),3/5)</f>
        <v>1.9926732302024714</v>
      </c>
      <c r="H112" s="194">
        <f>B112/$H$43</f>
        <v>160.70901033973414</v>
      </c>
      <c r="I112" s="194">
        <f>0.9*((H112^2)/G112)^(1/3)</f>
        <v>21.140924004847427</v>
      </c>
      <c r="J112" s="194">
        <f>H112/I112</f>
        <v>7.6017968894304229</v>
      </c>
      <c r="K112" s="194">
        <f>(J112^2)/(2*32.2)</f>
        <v>0.89731857062351006</v>
      </c>
      <c r="L112" s="194">
        <f>E112-$H$62</f>
        <v>13.835443152806988</v>
      </c>
      <c r="M112" s="194">
        <f>L112+K112</f>
        <v>14.732761723430498</v>
      </c>
      <c r="N112" s="197">
        <f>C112-$H$62</f>
        <v>9.8354431528069881</v>
      </c>
      <c r="O112" s="194">
        <f>N112/M112</f>
        <v>0.66758991541721768</v>
      </c>
      <c r="P112" s="196">
        <v>0.89</v>
      </c>
      <c r="Q112" s="196">
        <f>3.8*P112</f>
        <v>3.3819999999999997</v>
      </c>
      <c r="R112" s="196">
        <f>M112^(3/2)</f>
        <v>56.549171625130569</v>
      </c>
      <c r="S112" s="196">
        <f>R112*Q112</f>
        <v>191.24929843619157</v>
      </c>
      <c r="T112" s="196">
        <f>S112*$H$41</f>
        <v>573747.89530857466</v>
      </c>
      <c r="U112" s="131">
        <f>((T112-B112)/T112)*100</f>
        <v>5.1848373740134717</v>
      </c>
      <c r="V112" s="26" t="str">
        <f>IF(T112&gt;B112,"O.K","NOT O.K")</f>
        <v>O.K</v>
      </c>
    </row>
    <row r="113" spans="1:23" x14ac:dyDescent="0.25">
      <c r="A113" s="193">
        <v>1</v>
      </c>
      <c r="B113" s="194">
        <f>1*H4</f>
        <v>453333.33333333331</v>
      </c>
      <c r="C113" s="195">
        <v>599.5</v>
      </c>
      <c r="D113" s="196">
        <v>3</v>
      </c>
      <c r="E113" s="196">
        <f t="shared" ref="E113:E119" si="0">C113+D113</f>
        <v>602.5</v>
      </c>
      <c r="F113" s="196">
        <f t="shared" ref="F113:F123" si="1">E113-$H$6</f>
        <v>20.5</v>
      </c>
      <c r="G113" s="194">
        <f t="shared" ref="G113:G123" si="2">POWER(($H$12/5280*1844*POWER(B113,1/6)),3/5)</f>
        <v>1.9566716917497338</v>
      </c>
      <c r="H113" s="194">
        <f t="shared" ref="H113:H123" si="3">B113/$H$43</f>
        <v>133.92417528311177</v>
      </c>
      <c r="I113" s="194">
        <f t="shared" ref="I113:I123" si="4">0.9*((H113^2)/G113)^(1/3)</f>
        <v>18.835443152806977</v>
      </c>
      <c r="J113" s="194">
        <f t="shared" ref="J113:J119" si="5">H113/I113</f>
        <v>7.1102216282685937</v>
      </c>
      <c r="K113" s="194">
        <f t="shared" ref="K113:K123" si="6">(J113^2)/(2*32.2)</f>
        <v>0.78501943483072179</v>
      </c>
      <c r="L113" s="194">
        <f t="shared" ref="L113:L123" si="7">E113-$H$62</f>
        <v>12.335443152806988</v>
      </c>
      <c r="M113" s="194">
        <f t="shared" ref="M113:M123" si="8">L113+K113</f>
        <v>13.120462587637711</v>
      </c>
      <c r="N113" s="197">
        <f t="shared" ref="N113:N123" si="9">C113-$H$62</f>
        <v>9.3354431528069881</v>
      </c>
      <c r="O113" s="194">
        <f t="shared" ref="O113:O119" si="10">N113/M113</f>
        <v>0.71151783639114807</v>
      </c>
      <c r="P113" s="196">
        <v>0.87</v>
      </c>
      <c r="Q113" s="196">
        <f t="shared" ref="Q113:Q119" si="11">3.8*P113</f>
        <v>3.306</v>
      </c>
      <c r="R113" s="196">
        <f t="shared" ref="R113:R119" si="12">M113^(3/2)</f>
        <v>47.525174572630824</v>
      </c>
      <c r="S113" s="196">
        <f t="shared" ref="S113:S119" si="13">R113*Q113</f>
        <v>157.11822713711751</v>
      </c>
      <c r="T113" s="196">
        <f t="shared" ref="T113:T123" si="14">S113*$H$41</f>
        <v>471354.68141135253</v>
      </c>
      <c r="U113" s="131">
        <f t="shared" ref="U113:U123" si="15">((T113-B113)/T113)*100</f>
        <v>3.8233094501276286</v>
      </c>
      <c r="V113" s="26" t="str">
        <f t="shared" ref="V113:V123" si="16">IF(T113&gt;B113,"O.K","NOT O.K")</f>
        <v>O.K</v>
      </c>
    </row>
    <row r="114" spans="1:23" x14ac:dyDescent="0.25">
      <c r="A114" s="193">
        <v>0.5</v>
      </c>
      <c r="B114" s="194">
        <f>0.5*H4</f>
        <v>226666.66666666666</v>
      </c>
      <c r="C114" s="195">
        <v>596.5</v>
      </c>
      <c r="D114" s="196">
        <v>3</v>
      </c>
      <c r="E114" s="196">
        <f t="shared" si="0"/>
        <v>599.5</v>
      </c>
      <c r="F114" s="196">
        <f t="shared" si="1"/>
        <v>17.5</v>
      </c>
      <c r="G114" s="194">
        <f t="shared" si="2"/>
        <v>1.8256392420086403</v>
      </c>
      <c r="H114" s="194">
        <f t="shared" si="3"/>
        <v>66.962087641555883</v>
      </c>
      <c r="I114" s="194">
        <f t="shared" si="4"/>
        <v>12.142930573765451</v>
      </c>
      <c r="J114" s="194">
        <f>H114/I114</f>
        <v>5.5144915170828765</v>
      </c>
      <c r="K114" s="194">
        <f t="shared" si="6"/>
        <v>0.47219901695619565</v>
      </c>
      <c r="L114" s="194">
        <f t="shared" si="7"/>
        <v>9.3354431528069881</v>
      </c>
      <c r="M114" s="194">
        <f t="shared" si="8"/>
        <v>9.8076421697631844</v>
      </c>
      <c r="N114" s="197">
        <f t="shared" si="9"/>
        <v>6.3354431528069881</v>
      </c>
      <c r="O114" s="194">
        <f>N114/M114</f>
        <v>0.64597005510040584</v>
      </c>
      <c r="P114" s="196">
        <v>0.88</v>
      </c>
      <c r="Q114" s="196">
        <f t="shared" si="11"/>
        <v>3.3439999999999999</v>
      </c>
      <c r="R114" s="196">
        <f t="shared" si="12"/>
        <v>30.714745309697722</v>
      </c>
      <c r="S114" s="196">
        <f t="shared" si="13"/>
        <v>102.71010831562918</v>
      </c>
      <c r="T114" s="196">
        <f t="shared" si="14"/>
        <v>308130.32494688756</v>
      </c>
      <c r="U114" s="131">
        <f t="shared" si="15"/>
        <v>26.438052890205725</v>
      </c>
      <c r="V114" s="26" t="str">
        <f t="shared" si="16"/>
        <v>O.K</v>
      </c>
    </row>
    <row r="115" spans="1:23" x14ac:dyDescent="0.25">
      <c r="A115" s="193">
        <v>0.25</v>
      </c>
      <c r="B115" s="194">
        <f>0.25*H4</f>
        <v>113333.33333333333</v>
      </c>
      <c r="C115" s="162">
        <v>590.5</v>
      </c>
      <c r="D115" s="196">
        <v>4.0999999999999996</v>
      </c>
      <c r="E115" s="196">
        <f t="shared" si="0"/>
        <v>594.6</v>
      </c>
      <c r="F115" s="196">
        <f t="shared" si="1"/>
        <v>12.600000000000023</v>
      </c>
      <c r="G115" s="194">
        <f t="shared" si="2"/>
        <v>1.7033816434383113</v>
      </c>
      <c r="H115" s="194">
        <f t="shared" si="3"/>
        <v>33.481043820777941</v>
      </c>
      <c r="I115" s="194">
        <f t="shared" si="4"/>
        <v>7.8283670696281753</v>
      </c>
      <c r="J115" s="194">
        <f t="shared" si="5"/>
        <v>4.2768873154498355</v>
      </c>
      <c r="K115" s="194">
        <f t="shared" si="6"/>
        <v>0.2840336197058338</v>
      </c>
      <c r="L115" s="194">
        <f t="shared" si="7"/>
        <v>4.4354431528070108</v>
      </c>
      <c r="M115" s="194">
        <f t="shared" si="8"/>
        <v>4.719476772512845</v>
      </c>
      <c r="N115" s="197">
        <f t="shared" si="9"/>
        <v>0.33544315280698811</v>
      </c>
      <c r="O115" s="194">
        <f t="shared" si="10"/>
        <v>7.107634362365646E-2</v>
      </c>
      <c r="P115" s="196">
        <v>0.99</v>
      </c>
      <c r="Q115" s="196">
        <f t="shared" si="11"/>
        <v>3.762</v>
      </c>
      <c r="R115" s="196">
        <f t="shared" si="12"/>
        <v>10.252759719346201</v>
      </c>
      <c r="S115" s="196">
        <f t="shared" si="13"/>
        <v>38.57088206418041</v>
      </c>
      <c r="T115" s="196">
        <f t="shared" si="14"/>
        <v>115712.64619254123</v>
      </c>
      <c r="U115" s="131">
        <f t="shared" si="15"/>
        <v>2.0562254321354119</v>
      </c>
      <c r="V115" s="26" t="str">
        <f t="shared" si="16"/>
        <v>O.K</v>
      </c>
    </row>
    <row r="116" spans="1:23" ht="23.25" customHeight="1" x14ac:dyDescent="0.25">
      <c r="A116" s="217" t="s">
        <v>449</v>
      </c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9"/>
      <c r="U116" s="171"/>
      <c r="V116" s="172"/>
      <c r="W116" s="2" t="s">
        <v>485</v>
      </c>
    </row>
    <row r="117" spans="1:23" x14ac:dyDescent="0.25">
      <c r="A117" s="193">
        <v>1.2</v>
      </c>
      <c r="B117" s="194">
        <f>1.2*H4</f>
        <v>544000</v>
      </c>
      <c r="C117" s="195">
        <v>596</v>
      </c>
      <c r="D117" s="196">
        <v>7</v>
      </c>
      <c r="E117" s="196">
        <f t="shared" si="0"/>
        <v>603</v>
      </c>
      <c r="F117" s="196">
        <f t="shared" si="1"/>
        <v>21</v>
      </c>
      <c r="G117" s="194">
        <f t="shared" si="2"/>
        <v>1.9926732302024714</v>
      </c>
      <c r="H117" s="194">
        <f t="shared" si="3"/>
        <v>160.70901033973414</v>
      </c>
      <c r="I117" s="194">
        <f t="shared" si="4"/>
        <v>21.140924004847427</v>
      </c>
      <c r="J117" s="194">
        <f t="shared" si="5"/>
        <v>7.6017968894304229</v>
      </c>
      <c r="K117" s="194">
        <f t="shared" si="6"/>
        <v>0.89731857062351006</v>
      </c>
      <c r="L117" s="194">
        <f t="shared" si="7"/>
        <v>12.835443152806988</v>
      </c>
      <c r="M117" s="194">
        <f t="shared" si="8"/>
        <v>13.732761723430498</v>
      </c>
      <c r="N117" s="197">
        <f t="shared" si="9"/>
        <v>5.8354431528069881</v>
      </c>
      <c r="O117" s="194">
        <f t="shared" si="10"/>
        <v>0.42492859559710411</v>
      </c>
      <c r="P117" s="196">
        <v>0.97</v>
      </c>
      <c r="Q117" s="196">
        <f t="shared" si="11"/>
        <v>3.6859999999999999</v>
      </c>
      <c r="R117" s="196">
        <f t="shared" si="12"/>
        <v>50.89051279620422</v>
      </c>
      <c r="S117" s="196">
        <f t="shared" si="13"/>
        <v>187.58243016680876</v>
      </c>
      <c r="T117" s="196">
        <f t="shared" si="14"/>
        <v>562747.29050042632</v>
      </c>
      <c r="U117" s="131">
        <f t="shared" si="15"/>
        <v>3.3313870749613348</v>
      </c>
      <c r="V117" s="26" t="str">
        <f t="shared" si="16"/>
        <v>O.K</v>
      </c>
    </row>
    <row r="118" spans="1:23" x14ac:dyDescent="0.25">
      <c r="A118" s="193">
        <v>1</v>
      </c>
      <c r="B118" s="194">
        <f>1*H4</f>
        <v>453333.33333333331</v>
      </c>
      <c r="C118" s="195">
        <v>595.5</v>
      </c>
      <c r="D118" s="196">
        <v>7</v>
      </c>
      <c r="E118" s="196">
        <f t="shared" si="0"/>
        <v>602.5</v>
      </c>
      <c r="F118" s="196">
        <f t="shared" si="1"/>
        <v>20.5</v>
      </c>
      <c r="G118" s="194">
        <f t="shared" si="2"/>
        <v>1.9566716917497338</v>
      </c>
      <c r="H118" s="194">
        <f t="shared" si="3"/>
        <v>133.92417528311177</v>
      </c>
      <c r="I118" s="194">
        <f t="shared" si="4"/>
        <v>18.835443152806977</v>
      </c>
      <c r="J118" s="194">
        <f t="shared" si="5"/>
        <v>7.1102216282685937</v>
      </c>
      <c r="K118" s="194">
        <f t="shared" si="6"/>
        <v>0.78501943483072179</v>
      </c>
      <c r="L118" s="194">
        <f t="shared" si="7"/>
        <v>12.335443152806988</v>
      </c>
      <c r="M118" s="194">
        <f t="shared" si="8"/>
        <v>13.120462587637711</v>
      </c>
      <c r="N118" s="197">
        <f t="shared" si="9"/>
        <v>5.3354431528069881</v>
      </c>
      <c r="O118" s="194">
        <f t="shared" si="10"/>
        <v>0.40665053668413487</v>
      </c>
      <c r="P118" s="196">
        <v>0.98</v>
      </c>
      <c r="Q118" s="196">
        <f t="shared" si="11"/>
        <v>3.7239999999999998</v>
      </c>
      <c r="R118" s="196">
        <f t="shared" si="12"/>
        <v>47.525174572630824</v>
      </c>
      <c r="S118" s="196">
        <f t="shared" si="13"/>
        <v>176.98375010847718</v>
      </c>
      <c r="T118" s="196">
        <f t="shared" si="14"/>
        <v>530951.25032543158</v>
      </c>
      <c r="U118" s="131">
        <f t="shared" si="15"/>
        <v>14.618652266950036</v>
      </c>
      <c r="V118" s="26" t="str">
        <f t="shared" si="16"/>
        <v>O.K</v>
      </c>
    </row>
    <row r="119" spans="1:23" x14ac:dyDescent="0.25">
      <c r="A119" s="193">
        <v>0.5</v>
      </c>
      <c r="B119" s="194">
        <f>0.5*H4</f>
        <v>226666.66666666666</v>
      </c>
      <c r="C119" s="162">
        <v>591</v>
      </c>
      <c r="D119" s="196">
        <v>7</v>
      </c>
      <c r="E119" s="196">
        <f t="shared" si="0"/>
        <v>598</v>
      </c>
      <c r="F119" s="196">
        <f t="shared" si="1"/>
        <v>16</v>
      </c>
      <c r="G119" s="194">
        <f t="shared" si="2"/>
        <v>1.8256392420086403</v>
      </c>
      <c r="H119" s="194">
        <f t="shared" si="3"/>
        <v>66.962087641555883</v>
      </c>
      <c r="I119" s="194">
        <f t="shared" si="4"/>
        <v>12.142930573765451</v>
      </c>
      <c r="J119" s="194">
        <f t="shared" si="5"/>
        <v>5.5144915170828765</v>
      </c>
      <c r="K119" s="194">
        <f t="shared" si="6"/>
        <v>0.47219901695619565</v>
      </c>
      <c r="L119" s="194">
        <f t="shared" si="7"/>
        <v>7.8354431528069881</v>
      </c>
      <c r="M119" s="194">
        <f t="shared" si="8"/>
        <v>8.3076421697631844</v>
      </c>
      <c r="N119" s="197">
        <f t="shared" si="9"/>
        <v>0.83544315280698811</v>
      </c>
      <c r="O119" s="194">
        <f t="shared" si="10"/>
        <v>0.10056320863790924</v>
      </c>
      <c r="P119" s="196">
        <v>1</v>
      </c>
      <c r="Q119" s="196">
        <f t="shared" si="11"/>
        <v>3.8</v>
      </c>
      <c r="R119" s="196">
        <f t="shared" si="12"/>
        <v>23.945100999995233</v>
      </c>
      <c r="S119" s="196">
        <f t="shared" si="13"/>
        <v>90.99138379998189</v>
      </c>
      <c r="T119" s="196">
        <f t="shared" si="14"/>
        <v>272974.15139994567</v>
      </c>
      <c r="U119" s="131">
        <f t="shared" si="15"/>
        <v>16.964054836617848</v>
      </c>
      <c r="V119" s="26" t="str">
        <f t="shared" si="16"/>
        <v>O.K</v>
      </c>
    </row>
    <row r="120" spans="1:23" ht="17.25" customHeight="1" x14ac:dyDescent="0.25">
      <c r="A120" s="217" t="s">
        <v>450</v>
      </c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9"/>
      <c r="U120" s="171"/>
      <c r="V120" s="172"/>
      <c r="W120" s="2" t="s">
        <v>486</v>
      </c>
    </row>
    <row r="121" spans="1:23" x14ac:dyDescent="0.25">
      <c r="A121" s="193">
        <v>1.2</v>
      </c>
      <c r="B121" s="194">
        <f>1.2*H4</f>
        <v>544000</v>
      </c>
      <c r="C121" s="195">
        <v>603</v>
      </c>
      <c r="D121" s="196">
        <v>2</v>
      </c>
      <c r="E121" s="196">
        <f>C121+D121</f>
        <v>605</v>
      </c>
      <c r="F121" s="196">
        <f t="shared" si="1"/>
        <v>23</v>
      </c>
      <c r="G121" s="194">
        <f t="shared" si="2"/>
        <v>1.9926732302024714</v>
      </c>
      <c r="H121" s="194">
        <f t="shared" si="3"/>
        <v>160.70901033973414</v>
      </c>
      <c r="I121" s="194">
        <f t="shared" si="4"/>
        <v>21.140924004847427</v>
      </c>
      <c r="J121" s="194">
        <f>H121/I121</f>
        <v>7.6017968894304229</v>
      </c>
      <c r="K121" s="194">
        <f t="shared" si="6"/>
        <v>0.89731857062351006</v>
      </c>
      <c r="L121" s="194">
        <f t="shared" si="7"/>
        <v>14.835443152806988</v>
      </c>
      <c r="M121" s="194">
        <f t="shared" si="8"/>
        <v>15.732761723430498</v>
      </c>
      <c r="N121" s="197">
        <f t="shared" si="9"/>
        <v>12.835443152806988</v>
      </c>
      <c r="O121" s="194">
        <f>N121/M121</f>
        <v>0.81584170525454602</v>
      </c>
      <c r="P121" s="196">
        <v>0.77</v>
      </c>
      <c r="Q121" s="196">
        <f>3.8*P121</f>
        <v>2.9259999999999997</v>
      </c>
      <c r="R121" s="196">
        <f>M121^(3/2)</f>
        <v>62.403284373956623</v>
      </c>
      <c r="S121" s="196">
        <f>R121*Q121</f>
        <v>182.59201007819706</v>
      </c>
      <c r="T121" s="196">
        <f t="shared" si="14"/>
        <v>547776.03023459122</v>
      </c>
      <c r="U121" s="131">
        <f t="shared" si="15"/>
        <v>0.68933834745819267</v>
      </c>
      <c r="V121" s="26" t="str">
        <f t="shared" si="16"/>
        <v>O.K</v>
      </c>
    </row>
    <row r="122" spans="1:23" x14ac:dyDescent="0.25">
      <c r="A122" s="193">
        <v>1</v>
      </c>
      <c r="B122" s="194">
        <f>1*H4</f>
        <v>453333.33333333331</v>
      </c>
      <c r="C122" s="195">
        <v>602</v>
      </c>
      <c r="D122" s="196">
        <v>2</v>
      </c>
      <c r="E122" s="196">
        <f>C122+D122</f>
        <v>604</v>
      </c>
      <c r="F122" s="196">
        <f t="shared" si="1"/>
        <v>22</v>
      </c>
      <c r="G122" s="194">
        <f t="shared" si="2"/>
        <v>1.9566716917497338</v>
      </c>
      <c r="H122" s="194">
        <f t="shared" si="3"/>
        <v>133.92417528311177</v>
      </c>
      <c r="I122" s="194">
        <f t="shared" si="4"/>
        <v>18.835443152806977</v>
      </c>
      <c r="J122" s="194">
        <f>H122/I122</f>
        <v>7.1102216282685937</v>
      </c>
      <c r="K122" s="194">
        <f t="shared" si="6"/>
        <v>0.78501943483072179</v>
      </c>
      <c r="L122" s="194">
        <f t="shared" si="7"/>
        <v>13.835443152806988</v>
      </c>
      <c r="M122" s="194">
        <f t="shared" si="8"/>
        <v>14.620462587637711</v>
      </c>
      <c r="N122" s="197">
        <f t="shared" si="9"/>
        <v>11.835443152806988</v>
      </c>
      <c r="O122" s="194">
        <f>N122/M122</f>
        <v>0.8095122217825319</v>
      </c>
      <c r="P122" s="196">
        <v>0.78</v>
      </c>
      <c r="Q122" s="196">
        <f>3.8*P122</f>
        <v>2.964</v>
      </c>
      <c r="R122" s="196">
        <f>M122^(3/2)</f>
        <v>55.903843910207037</v>
      </c>
      <c r="S122" s="196">
        <f>R122*Q122</f>
        <v>165.69899334985365</v>
      </c>
      <c r="T122" s="196">
        <f t="shared" si="14"/>
        <v>497096.98004956095</v>
      </c>
      <c r="U122" s="131">
        <f t="shared" si="15"/>
        <v>8.8038448175372874</v>
      </c>
      <c r="V122" s="26" t="str">
        <f t="shared" si="16"/>
        <v>O.K</v>
      </c>
    </row>
    <row r="123" spans="1:23" ht="16.5" thickBot="1" x14ac:dyDescent="0.3">
      <c r="A123" s="198">
        <v>0.5</v>
      </c>
      <c r="B123" s="199">
        <f>0.5*H4</f>
        <v>226666.66666666666</v>
      </c>
      <c r="C123" s="200">
        <v>600.5</v>
      </c>
      <c r="D123" s="201">
        <v>1</v>
      </c>
      <c r="E123" s="201">
        <f>C123+D123</f>
        <v>601.5</v>
      </c>
      <c r="F123" s="201">
        <f t="shared" si="1"/>
        <v>19.5</v>
      </c>
      <c r="G123" s="199">
        <f t="shared" si="2"/>
        <v>1.8256392420086403</v>
      </c>
      <c r="H123" s="199">
        <f t="shared" si="3"/>
        <v>66.962087641555883</v>
      </c>
      <c r="I123" s="199">
        <f t="shared" si="4"/>
        <v>12.142930573765451</v>
      </c>
      <c r="J123" s="199">
        <f>H123/I123</f>
        <v>5.5144915170828765</v>
      </c>
      <c r="K123" s="199">
        <f t="shared" si="6"/>
        <v>0.47219901695619565</v>
      </c>
      <c r="L123" s="199">
        <f t="shared" si="7"/>
        <v>11.335443152806988</v>
      </c>
      <c r="M123" s="199">
        <f t="shared" si="8"/>
        <v>11.807642169763184</v>
      </c>
      <c r="N123" s="202">
        <f t="shared" si="9"/>
        <v>10.335443152806988</v>
      </c>
      <c r="O123" s="199">
        <f>N123/M123</f>
        <v>0.87531812060445235</v>
      </c>
      <c r="P123" s="201">
        <v>0.79</v>
      </c>
      <c r="Q123" s="201">
        <f>3.8*P123</f>
        <v>3.0019999999999998</v>
      </c>
      <c r="R123" s="201">
        <f>M123^(3/2)</f>
        <v>40.573715075864797</v>
      </c>
      <c r="S123" s="201">
        <f>R123*Q123</f>
        <v>121.80229265774611</v>
      </c>
      <c r="T123" s="201">
        <f t="shared" si="14"/>
        <v>365406.8779732383</v>
      </c>
      <c r="U123" s="132">
        <f t="shared" si="15"/>
        <v>37.968691798059886</v>
      </c>
      <c r="V123" s="43" t="str">
        <f t="shared" si="16"/>
        <v>O.K</v>
      </c>
    </row>
    <row r="125" spans="1:23" x14ac:dyDescent="0.25">
      <c r="A125" s="7"/>
      <c r="B125" s="44" t="s">
        <v>81</v>
      </c>
      <c r="C125" s="7"/>
    </row>
    <row r="126" spans="1:23" x14ac:dyDescent="0.25">
      <c r="B126" s="4"/>
    </row>
    <row r="127" spans="1:23" x14ac:dyDescent="0.25">
      <c r="B127" s="5" t="s">
        <v>467</v>
      </c>
      <c r="C127" s="5"/>
      <c r="E127" s="5">
        <v>20</v>
      </c>
      <c r="F127" s="5" t="s">
        <v>46</v>
      </c>
    </row>
    <row r="128" spans="1:23" x14ac:dyDescent="0.25">
      <c r="B128" s="2" t="s">
        <v>466</v>
      </c>
      <c r="E128" s="9">
        <f>(100+E127)/100*H97</f>
        <v>148785.57570198496</v>
      </c>
      <c r="F128" s="2" t="s">
        <v>2</v>
      </c>
    </row>
    <row r="129" spans="1:17" x14ac:dyDescent="0.25">
      <c r="B129" s="2" t="s">
        <v>470</v>
      </c>
      <c r="E129" s="2">
        <f>H83</f>
        <v>600</v>
      </c>
      <c r="F129" s="2" t="s">
        <v>5</v>
      </c>
    </row>
    <row r="130" spans="1:17" ht="16.5" thickBot="1" x14ac:dyDescent="0.3">
      <c r="A130" s="7"/>
      <c r="B130" s="7" t="s">
        <v>468</v>
      </c>
      <c r="C130" s="7"/>
      <c r="D130" s="7"/>
      <c r="E130" s="59">
        <f>H82</f>
        <v>587.16455684719301</v>
      </c>
      <c r="F130" s="2" t="s">
        <v>5</v>
      </c>
      <c r="L130" s="7"/>
    </row>
    <row r="131" spans="1:17" s="11" customFormat="1" ht="17.25" x14ac:dyDescent="0.3">
      <c r="A131" s="46"/>
      <c r="B131" s="173" t="s">
        <v>59</v>
      </c>
      <c r="C131" s="186" t="s">
        <v>60</v>
      </c>
      <c r="D131" s="186" t="s">
        <v>27</v>
      </c>
      <c r="E131" s="186" t="s">
        <v>61</v>
      </c>
      <c r="F131" s="19" t="s">
        <v>62</v>
      </c>
      <c r="G131" s="19" t="s">
        <v>63</v>
      </c>
      <c r="H131" s="19" t="s">
        <v>64</v>
      </c>
      <c r="I131" s="19" t="s">
        <v>65</v>
      </c>
      <c r="J131" s="19" t="s">
        <v>66</v>
      </c>
      <c r="K131" s="19" t="s">
        <v>67</v>
      </c>
      <c r="L131" s="19" t="s">
        <v>68</v>
      </c>
      <c r="M131" s="133" t="s">
        <v>69</v>
      </c>
      <c r="N131" s="19" t="s">
        <v>70</v>
      </c>
      <c r="O131" s="19" t="s">
        <v>384</v>
      </c>
      <c r="P131" s="19" t="s">
        <v>59</v>
      </c>
      <c r="Q131" s="20"/>
    </row>
    <row r="132" spans="1:17" s="11" customFormat="1" x14ac:dyDescent="0.25">
      <c r="A132" s="46"/>
      <c r="B132" s="187"/>
      <c r="C132" s="188"/>
      <c r="D132" s="188"/>
      <c r="E132" s="188" t="s">
        <v>453</v>
      </c>
      <c r="F132" s="23" t="s">
        <v>71</v>
      </c>
      <c r="G132" s="152" t="s">
        <v>469</v>
      </c>
      <c r="H132" s="23" t="s">
        <v>376</v>
      </c>
      <c r="I132" s="23" t="s">
        <v>72</v>
      </c>
      <c r="J132" s="23" t="s">
        <v>73</v>
      </c>
      <c r="K132" s="153" t="s">
        <v>74</v>
      </c>
      <c r="L132" s="22"/>
      <c r="M132" s="154" t="s">
        <v>75</v>
      </c>
      <c r="N132" s="22"/>
      <c r="O132" s="22" t="s">
        <v>471</v>
      </c>
      <c r="P132" s="22" t="s">
        <v>472</v>
      </c>
      <c r="Q132" s="151"/>
    </row>
    <row r="133" spans="1:17" s="11" customFormat="1" x14ac:dyDescent="0.25">
      <c r="A133" s="46"/>
      <c r="B133" s="189" t="s">
        <v>76</v>
      </c>
      <c r="C133" s="190" t="s">
        <v>77</v>
      </c>
      <c r="D133" s="188" t="s">
        <v>5</v>
      </c>
      <c r="E133" s="190" t="s">
        <v>77</v>
      </c>
      <c r="F133" s="23" t="s">
        <v>77</v>
      </c>
      <c r="G133" s="23" t="s">
        <v>78</v>
      </c>
      <c r="H133" s="23" t="s">
        <v>77</v>
      </c>
      <c r="I133" s="23" t="s">
        <v>77</v>
      </c>
      <c r="J133" s="23" t="s">
        <v>77</v>
      </c>
      <c r="K133" s="23" t="s">
        <v>77</v>
      </c>
      <c r="L133" s="23"/>
      <c r="M133" s="155"/>
      <c r="N133" s="23"/>
      <c r="O133" s="23" t="s">
        <v>79</v>
      </c>
      <c r="P133" s="23" t="s">
        <v>76</v>
      </c>
      <c r="Q133" s="151"/>
    </row>
    <row r="134" spans="1:17" x14ac:dyDescent="0.25">
      <c r="B134" s="214" t="s">
        <v>82</v>
      </c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6"/>
    </row>
    <row r="135" spans="1:17" x14ac:dyDescent="0.25">
      <c r="B135" s="175">
        <f>E128</f>
        <v>148785.57570198496</v>
      </c>
      <c r="C135" s="127">
        <v>593.5</v>
      </c>
      <c r="D135" s="127">
        <v>8</v>
      </c>
      <c r="E135" s="127">
        <f>C135+D135</f>
        <v>601.5</v>
      </c>
      <c r="F135" s="127">
        <f>E135-$H$6</f>
        <v>19.5</v>
      </c>
      <c r="G135" s="161">
        <f>B135/$E$129/F135</f>
        <v>12.716715871964526</v>
      </c>
      <c r="H135" s="159">
        <f>G135*G135/(2*32.2)</f>
        <v>2.5111003504390448</v>
      </c>
      <c r="I135" s="159">
        <f>C135-$E$130</f>
        <v>6.3354431528069881</v>
      </c>
      <c r="J135" s="159">
        <f>E135-$E$130</f>
        <v>14.335443152806988</v>
      </c>
      <c r="K135" s="159">
        <f>E135+H135-$E$130</f>
        <v>16.846543503246039</v>
      </c>
      <c r="L135" s="159">
        <f>I135/K135</f>
        <v>0.3760678356118724</v>
      </c>
      <c r="M135" s="176">
        <v>0.96</v>
      </c>
      <c r="N135" s="159">
        <f>$H$68*M135</f>
        <v>3.6479999999999997</v>
      </c>
      <c r="O135" s="159">
        <f>N135*K135^(3/2)</f>
        <v>252.24411421954454</v>
      </c>
      <c r="P135" s="177">
        <f>O135*$E$129</f>
        <v>151346.46853172671</v>
      </c>
      <c r="Q135" s="178" t="str">
        <f>IF(P135&gt;B135,"O.K","NOT O.K")</f>
        <v>O.K</v>
      </c>
    </row>
    <row r="136" spans="1:17" x14ac:dyDescent="0.25">
      <c r="B136" s="214" t="s">
        <v>83</v>
      </c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6"/>
    </row>
    <row r="137" spans="1:17" x14ac:dyDescent="0.25">
      <c r="B137" s="175">
        <f>E128</f>
        <v>148785.57570198496</v>
      </c>
      <c r="C137" s="127">
        <v>584.5</v>
      </c>
      <c r="D137" s="127">
        <v>6</v>
      </c>
      <c r="E137" s="127">
        <f t="shared" ref="E137:E139" si="17">C137+D137</f>
        <v>590.5</v>
      </c>
      <c r="F137" s="127">
        <f>E137-$H$6</f>
        <v>8.5</v>
      </c>
      <c r="G137" s="161">
        <f>B137/$E$129/F137</f>
        <v>29.173642294506852</v>
      </c>
      <c r="H137" s="159">
        <f>G137*G137/(2*32.2)</f>
        <v>13.215860321860854</v>
      </c>
      <c r="I137" s="159">
        <f>C137-$E$130</f>
        <v>-2.6645568471930119</v>
      </c>
      <c r="J137" s="159">
        <f t="shared" ref="J137:J139" si="18">E137-$E$130</f>
        <v>3.3354431528069881</v>
      </c>
      <c r="K137" s="159">
        <f t="shared" ref="K137:K139" si="19">E137+H137-$E$130</f>
        <v>16.551303474667861</v>
      </c>
      <c r="L137" s="159">
        <f>I137/K137</f>
        <v>-0.16098773436612865</v>
      </c>
      <c r="M137" s="176" t="s">
        <v>487</v>
      </c>
      <c r="N137" s="159">
        <v>3.8</v>
      </c>
      <c r="O137" s="159">
        <f t="shared" ref="O137:O139" si="20">N137*K137^(3/2)</f>
        <v>255.87738234331306</v>
      </c>
      <c r="P137" s="177">
        <f t="shared" ref="P137:P139" si="21">O137*$E$129</f>
        <v>153526.42940598784</v>
      </c>
      <c r="Q137" s="178" t="str">
        <f>IF(P137&gt;B137,"O.K","NOT O.K")</f>
        <v>O.K</v>
      </c>
    </row>
    <row r="138" spans="1:17" x14ac:dyDescent="0.25">
      <c r="B138" s="214" t="s">
        <v>80</v>
      </c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6"/>
    </row>
    <row r="139" spans="1:17" ht="16.5" thickBot="1" x14ac:dyDescent="0.3">
      <c r="B139" s="179">
        <f>E128</f>
        <v>148785.57570198496</v>
      </c>
      <c r="C139" s="180">
        <v>597.5</v>
      </c>
      <c r="D139" s="181">
        <v>5</v>
      </c>
      <c r="E139" s="181">
        <f t="shared" si="17"/>
        <v>602.5</v>
      </c>
      <c r="F139" s="181">
        <f>E139-$H$6</f>
        <v>20.5</v>
      </c>
      <c r="G139" s="180">
        <f>B139/$E$129/F139</f>
        <v>12.09638826845406</v>
      </c>
      <c r="H139" s="182">
        <f>G139*G139/(2*32.2)</f>
        <v>2.2720902040557918</v>
      </c>
      <c r="I139" s="182">
        <f>C139-$E$130</f>
        <v>10.335443152806988</v>
      </c>
      <c r="J139" s="182">
        <f t="shared" si="18"/>
        <v>15.335443152806988</v>
      </c>
      <c r="K139" s="182">
        <f t="shared" si="19"/>
        <v>17.607533356862746</v>
      </c>
      <c r="L139" s="182">
        <f>I139/K139</f>
        <v>0.58698983800468718</v>
      </c>
      <c r="M139" s="183">
        <v>0.9</v>
      </c>
      <c r="N139" s="182">
        <f>$H$68*M139</f>
        <v>3.42</v>
      </c>
      <c r="O139" s="182">
        <f t="shared" si="20"/>
        <v>252.68175567751547</v>
      </c>
      <c r="P139" s="184">
        <f t="shared" si="21"/>
        <v>151609.05340650928</v>
      </c>
      <c r="Q139" s="185" t="str">
        <f>IF(P139&gt;B139,"O.K","NOT O.K")</f>
        <v>O.K</v>
      </c>
    </row>
    <row r="141" spans="1:17" x14ac:dyDescent="0.25">
      <c r="B141" s="44" t="s">
        <v>84</v>
      </c>
      <c r="C141" s="44"/>
      <c r="D141" s="4"/>
      <c r="E141" s="44"/>
      <c r="F141" s="44"/>
      <c r="G141" s="44"/>
      <c r="H141" s="44"/>
      <c r="I141" s="45"/>
      <c r="J141" s="7"/>
      <c r="K141" s="7"/>
    </row>
    <row r="142" spans="1:17" x14ac:dyDescent="0.25">
      <c r="B142" s="7"/>
      <c r="E142" s="7"/>
      <c r="F142" s="7"/>
      <c r="G142" s="7"/>
      <c r="H142" s="7"/>
      <c r="I142" s="7"/>
      <c r="J142" s="7"/>
      <c r="K142" s="7"/>
    </row>
    <row r="143" spans="1:17" x14ac:dyDescent="0.25">
      <c r="B143" s="46" t="s">
        <v>85</v>
      </c>
      <c r="J143" s="9"/>
    </row>
    <row r="144" spans="1:17" ht="16.5" thickBot="1" x14ac:dyDescent="0.3"/>
    <row r="145" spans="1:8" s="11" customFormat="1" ht="17.25" x14ac:dyDescent="0.3">
      <c r="A145" s="18" t="s">
        <v>475</v>
      </c>
      <c r="B145" s="19" t="s">
        <v>59</v>
      </c>
      <c r="C145" s="19" t="s">
        <v>384</v>
      </c>
      <c r="D145" s="19" t="s">
        <v>86</v>
      </c>
      <c r="E145" s="19" t="s">
        <v>87</v>
      </c>
      <c r="F145" s="19" t="s">
        <v>385</v>
      </c>
      <c r="G145" s="133" t="s">
        <v>386</v>
      </c>
      <c r="H145" s="20" t="s">
        <v>88</v>
      </c>
    </row>
    <row r="146" spans="1:8" s="11" customFormat="1" x14ac:dyDescent="0.25">
      <c r="A146" s="21"/>
      <c r="B146" s="22"/>
      <c r="C146" s="22"/>
      <c r="D146" s="23" t="s">
        <v>89</v>
      </c>
      <c r="E146" s="23" t="s">
        <v>90</v>
      </c>
      <c r="F146" s="142" t="s">
        <v>91</v>
      </c>
      <c r="G146" s="143" t="s">
        <v>92</v>
      </c>
      <c r="H146" s="128" t="s">
        <v>476</v>
      </c>
    </row>
    <row r="147" spans="1:8" s="11" customFormat="1" x14ac:dyDescent="0.25">
      <c r="A147" s="21"/>
      <c r="B147" s="144" t="s">
        <v>76</v>
      </c>
      <c r="C147" s="144" t="s">
        <v>79</v>
      </c>
      <c r="D147" s="144" t="s">
        <v>77</v>
      </c>
      <c r="E147" s="144" t="s">
        <v>77</v>
      </c>
      <c r="F147" s="144" t="s">
        <v>77</v>
      </c>
      <c r="G147" s="145" t="s">
        <v>77</v>
      </c>
      <c r="H147" s="146" t="s">
        <v>77</v>
      </c>
    </row>
    <row r="148" spans="1:8" x14ac:dyDescent="0.25">
      <c r="A148" s="27"/>
      <c r="B148" s="22" t="s">
        <v>93</v>
      </c>
      <c r="C148" s="24"/>
      <c r="D148" s="24"/>
      <c r="E148" s="24"/>
      <c r="F148" s="24"/>
      <c r="G148" s="137"/>
      <c r="H148" s="26"/>
    </row>
    <row r="149" spans="1:8" x14ac:dyDescent="0.25">
      <c r="A149" s="27">
        <v>120</v>
      </c>
      <c r="B149" s="29">
        <f>B112</f>
        <v>544000</v>
      </c>
      <c r="C149" s="28">
        <f>S112</f>
        <v>191.24929843619157</v>
      </c>
      <c r="D149" s="29">
        <f>E112+K112</f>
        <v>604.8973185706235</v>
      </c>
      <c r="E149" s="29">
        <f>C112+K112</f>
        <v>600.8973185706235</v>
      </c>
      <c r="F149" s="29">
        <f>D149-E149</f>
        <v>4</v>
      </c>
      <c r="G149" s="137">
        <v>19.100000000000001</v>
      </c>
      <c r="H149" s="54">
        <f>E149-G149</f>
        <v>581.79731857062347</v>
      </c>
    </row>
    <row r="150" spans="1:8" x14ac:dyDescent="0.25">
      <c r="A150" s="27">
        <v>100</v>
      </c>
      <c r="B150" s="29">
        <f t="shared" ref="B150:B151" si="22">B113</f>
        <v>453333.33333333331</v>
      </c>
      <c r="C150" s="28">
        <f t="shared" ref="C150:C151" si="23">S113</f>
        <v>157.11822713711751</v>
      </c>
      <c r="D150" s="29">
        <f t="shared" ref="D150:D151" si="24">E113+K113</f>
        <v>603.2850194348307</v>
      </c>
      <c r="E150" s="29">
        <f t="shared" ref="E150:E151" si="25">C113+K113</f>
        <v>600.2850194348307</v>
      </c>
      <c r="F150" s="29">
        <f t="shared" ref="F150:F159" si="26">D150-E150</f>
        <v>3</v>
      </c>
      <c r="G150" s="137">
        <v>16.7</v>
      </c>
      <c r="H150" s="54">
        <f t="shared" ref="H150:H159" si="27">E150-G150</f>
        <v>583.58501943483066</v>
      </c>
    </row>
    <row r="151" spans="1:8" x14ac:dyDescent="0.25">
      <c r="A151" s="27">
        <v>50</v>
      </c>
      <c r="B151" s="29">
        <f t="shared" si="22"/>
        <v>226666.66666666666</v>
      </c>
      <c r="C151" s="28">
        <f t="shared" si="23"/>
        <v>102.71010831562918</v>
      </c>
      <c r="D151" s="29">
        <f t="shared" si="24"/>
        <v>599.97219901695621</v>
      </c>
      <c r="E151" s="29">
        <f t="shared" si="25"/>
        <v>596.97219901695621</v>
      </c>
      <c r="F151" s="29">
        <f t="shared" si="26"/>
        <v>3</v>
      </c>
      <c r="G151" s="137">
        <v>12.5</v>
      </c>
      <c r="H151" s="54">
        <f t="shared" si="27"/>
        <v>584.47219901695621</v>
      </c>
    </row>
    <row r="152" spans="1:8" x14ac:dyDescent="0.25">
      <c r="A152" s="27"/>
      <c r="B152" s="22" t="s">
        <v>94</v>
      </c>
      <c r="C152" s="24"/>
      <c r="D152" s="24"/>
      <c r="E152" s="24"/>
      <c r="F152" s="29"/>
      <c r="G152" s="137"/>
      <c r="H152" s="54"/>
    </row>
    <row r="153" spans="1:8" x14ac:dyDescent="0.25">
      <c r="A153" s="27">
        <v>120</v>
      </c>
      <c r="B153" s="29">
        <f>B117</f>
        <v>544000</v>
      </c>
      <c r="C153" s="28">
        <f>S117</f>
        <v>187.58243016680876</v>
      </c>
      <c r="D153" s="29">
        <f>E117+K117</f>
        <v>603.8973185706235</v>
      </c>
      <c r="E153" s="29">
        <f>C117+K117</f>
        <v>596.8973185706235</v>
      </c>
      <c r="F153" s="29">
        <f t="shared" si="26"/>
        <v>7</v>
      </c>
      <c r="G153" s="137">
        <v>20.100000000000001</v>
      </c>
      <c r="H153" s="54">
        <f t="shared" si="27"/>
        <v>576.79731857062347</v>
      </c>
    </row>
    <row r="154" spans="1:8" x14ac:dyDescent="0.25">
      <c r="A154" s="27">
        <v>100</v>
      </c>
      <c r="B154" s="29">
        <f t="shared" ref="B154:B155" si="28">B118</f>
        <v>453333.33333333331</v>
      </c>
      <c r="C154" s="28">
        <f t="shared" ref="C154:C155" si="29">S118</f>
        <v>176.98375010847718</v>
      </c>
      <c r="D154" s="29">
        <f t="shared" ref="D154:D155" si="30">E118+K118</f>
        <v>603.2850194348307</v>
      </c>
      <c r="E154" s="29">
        <f t="shared" ref="E154:E155" si="31">C118+K118</f>
        <v>596.2850194348307</v>
      </c>
      <c r="F154" s="29">
        <f t="shared" si="26"/>
        <v>7</v>
      </c>
      <c r="G154" s="137">
        <v>19.8</v>
      </c>
      <c r="H154" s="54">
        <f t="shared" si="27"/>
        <v>576.48501943483075</v>
      </c>
    </row>
    <row r="155" spans="1:8" x14ac:dyDescent="0.25">
      <c r="A155" s="27">
        <v>50</v>
      </c>
      <c r="B155" s="29">
        <f t="shared" si="28"/>
        <v>226666.66666666666</v>
      </c>
      <c r="C155" s="28">
        <f t="shared" si="29"/>
        <v>90.99138379998189</v>
      </c>
      <c r="D155" s="29">
        <f t="shared" si="30"/>
        <v>598.47219901695621</v>
      </c>
      <c r="E155" s="29">
        <f t="shared" si="31"/>
        <v>591.47219901695621</v>
      </c>
      <c r="F155" s="29">
        <f t="shared" si="26"/>
        <v>7</v>
      </c>
      <c r="G155" s="137">
        <v>13.2</v>
      </c>
      <c r="H155" s="54">
        <f t="shared" si="27"/>
        <v>578.27219901695616</v>
      </c>
    </row>
    <row r="156" spans="1:8" x14ac:dyDescent="0.25">
      <c r="A156" s="27"/>
      <c r="B156" s="22" t="s">
        <v>95</v>
      </c>
      <c r="C156" s="24"/>
      <c r="D156" s="24"/>
      <c r="E156" s="24"/>
      <c r="F156" s="29"/>
      <c r="G156" s="137"/>
      <c r="H156" s="54"/>
    </row>
    <row r="157" spans="1:8" x14ac:dyDescent="0.25">
      <c r="A157" s="27">
        <v>120</v>
      </c>
      <c r="B157" s="29">
        <f>B121</f>
        <v>544000</v>
      </c>
      <c r="C157" s="28">
        <f>S121</f>
        <v>182.59201007819706</v>
      </c>
      <c r="D157" s="29">
        <f>E121+K121</f>
        <v>605.8973185706235</v>
      </c>
      <c r="E157" s="29">
        <f>C121+K121</f>
        <v>603.8973185706235</v>
      </c>
      <c r="F157" s="29">
        <f t="shared" si="26"/>
        <v>2</v>
      </c>
      <c r="G157" s="137">
        <v>17.399999999999999</v>
      </c>
      <c r="H157" s="54">
        <f t="shared" si="27"/>
        <v>586.49731857062352</v>
      </c>
    </row>
    <row r="158" spans="1:8" x14ac:dyDescent="0.25">
      <c r="A158" s="27">
        <v>100</v>
      </c>
      <c r="B158" s="29">
        <f t="shared" ref="B158:B159" si="32">B122</f>
        <v>453333.33333333331</v>
      </c>
      <c r="C158" s="28">
        <f t="shared" ref="C158:C159" si="33">S122</f>
        <v>165.69899334985365</v>
      </c>
      <c r="D158" s="29">
        <f t="shared" ref="D158:D159" si="34">E122+K122</f>
        <v>604.7850194348307</v>
      </c>
      <c r="E158" s="29">
        <f t="shared" ref="E158:E159" si="35">C122+K122</f>
        <v>602.7850194348307</v>
      </c>
      <c r="F158" s="29">
        <f t="shared" si="26"/>
        <v>2</v>
      </c>
      <c r="G158" s="137">
        <v>16.8</v>
      </c>
      <c r="H158" s="54">
        <f t="shared" si="27"/>
        <v>585.98501943483075</v>
      </c>
    </row>
    <row r="159" spans="1:8" ht="16.5" thickBot="1" x14ac:dyDescent="0.3">
      <c r="A159" s="31">
        <v>50</v>
      </c>
      <c r="B159" s="35">
        <f t="shared" si="32"/>
        <v>226666.66666666666</v>
      </c>
      <c r="C159" s="34">
        <f t="shared" si="33"/>
        <v>121.80229265774611</v>
      </c>
      <c r="D159" s="35">
        <f t="shared" si="34"/>
        <v>601.97219901695621</v>
      </c>
      <c r="E159" s="35">
        <f t="shared" si="35"/>
        <v>600.97219901695621</v>
      </c>
      <c r="F159" s="35">
        <f t="shared" si="26"/>
        <v>1</v>
      </c>
      <c r="G159" s="138">
        <v>12.8</v>
      </c>
      <c r="H159" s="55">
        <f t="shared" si="27"/>
        <v>588.17219901695626</v>
      </c>
    </row>
    <row r="160" spans="1:8" x14ac:dyDescent="0.25">
      <c r="B160" s="2" t="s">
        <v>96</v>
      </c>
    </row>
    <row r="161" spans="2:8" x14ac:dyDescent="0.25">
      <c r="B161" s="56" t="s">
        <v>97</v>
      </c>
      <c r="C161" s="57"/>
      <c r="D161" s="139">
        <f>MIN(H149:H159)</f>
        <v>576.48501943483075</v>
      </c>
      <c r="E161" s="58" t="s">
        <v>5</v>
      </c>
    </row>
    <row r="163" spans="2:8" x14ac:dyDescent="0.25">
      <c r="B163" s="46" t="s">
        <v>98</v>
      </c>
    </row>
    <row r="164" spans="2:8" ht="16.5" thickBot="1" x14ac:dyDescent="0.3"/>
    <row r="165" spans="2:8" ht="17.25" x14ac:dyDescent="0.3">
      <c r="B165" s="18" t="s">
        <v>59</v>
      </c>
      <c r="C165" s="19" t="s">
        <v>384</v>
      </c>
      <c r="D165" s="19" t="s">
        <v>86</v>
      </c>
      <c r="E165" s="19" t="s">
        <v>87</v>
      </c>
      <c r="F165" s="19" t="s">
        <v>385</v>
      </c>
      <c r="G165" s="133" t="s">
        <v>386</v>
      </c>
      <c r="H165" s="20" t="s">
        <v>88</v>
      </c>
    </row>
    <row r="166" spans="2:8" x14ac:dyDescent="0.25">
      <c r="B166" s="27"/>
      <c r="C166" s="24"/>
      <c r="D166" s="39" t="s">
        <v>89</v>
      </c>
      <c r="E166" s="39" t="s">
        <v>90</v>
      </c>
      <c r="F166" s="47" t="s">
        <v>91</v>
      </c>
      <c r="G166" s="134" t="s">
        <v>92</v>
      </c>
      <c r="H166" s="40" t="s">
        <v>387</v>
      </c>
    </row>
    <row r="167" spans="2:8" ht="16.5" thickBot="1" x14ac:dyDescent="0.3">
      <c r="B167" s="48" t="s">
        <v>76</v>
      </c>
      <c r="C167" s="49" t="s">
        <v>79</v>
      </c>
      <c r="D167" s="49" t="s">
        <v>77</v>
      </c>
      <c r="E167" s="49" t="s">
        <v>77</v>
      </c>
      <c r="F167" s="49" t="s">
        <v>77</v>
      </c>
      <c r="G167" s="135" t="s">
        <v>77</v>
      </c>
      <c r="H167" s="50" t="s">
        <v>77</v>
      </c>
    </row>
    <row r="168" spans="2:8" x14ac:dyDescent="0.25">
      <c r="B168" s="51" t="s">
        <v>93</v>
      </c>
      <c r="C168" s="52"/>
      <c r="D168" s="52"/>
      <c r="E168" s="52"/>
      <c r="F168" s="52"/>
      <c r="G168" s="136"/>
      <c r="H168" s="53"/>
    </row>
    <row r="169" spans="2:8" x14ac:dyDescent="0.25">
      <c r="B169" s="41">
        <f>P135</f>
        <v>151346.46853172671</v>
      </c>
      <c r="C169" s="29">
        <f>O135</f>
        <v>252.24411421954454</v>
      </c>
      <c r="D169" s="29">
        <f>E135+H135</f>
        <v>604.01110035043905</v>
      </c>
      <c r="E169" s="29">
        <f>C135+H135</f>
        <v>596.01110035043905</v>
      </c>
      <c r="F169" s="29">
        <f>D169-E169</f>
        <v>8</v>
      </c>
      <c r="G169" s="137">
        <v>24.4</v>
      </c>
      <c r="H169" s="54">
        <f>E169-G169</f>
        <v>571.61110035043907</v>
      </c>
    </row>
    <row r="170" spans="2:8" x14ac:dyDescent="0.25">
      <c r="B170" s="21" t="s">
        <v>94</v>
      </c>
      <c r="C170" s="24"/>
      <c r="D170" s="24"/>
      <c r="E170" s="24"/>
      <c r="F170" s="29"/>
      <c r="G170" s="137"/>
      <c r="H170" s="54"/>
    </row>
    <row r="171" spans="2:8" x14ac:dyDescent="0.25">
      <c r="B171" s="41">
        <f>P137</f>
        <v>153526.42940598784</v>
      </c>
      <c r="C171" s="29">
        <f>O137</f>
        <v>255.87738234331306</v>
      </c>
      <c r="D171" s="29">
        <f>E137+H137</f>
        <v>603.71586032186087</v>
      </c>
      <c r="E171" s="29">
        <f>C137+H137</f>
        <v>597.71586032186087</v>
      </c>
      <c r="F171" s="29">
        <f>D171-E171</f>
        <v>6</v>
      </c>
      <c r="G171" s="137">
        <v>23.4</v>
      </c>
      <c r="H171" s="54">
        <f>E171-G171</f>
        <v>574.3158603218609</v>
      </c>
    </row>
    <row r="172" spans="2:8" x14ac:dyDescent="0.25">
      <c r="B172" s="21" t="s">
        <v>95</v>
      </c>
      <c r="C172" s="24"/>
      <c r="D172" s="24"/>
      <c r="E172" s="24"/>
      <c r="F172" s="29"/>
      <c r="G172" s="137"/>
      <c r="H172" s="54"/>
    </row>
    <row r="173" spans="2:8" ht="16.5" thickBot="1" x14ac:dyDescent="0.3">
      <c r="B173" s="42">
        <f>P139</f>
        <v>151609.05340650928</v>
      </c>
      <c r="C173" s="35">
        <f>O139</f>
        <v>252.68175567751547</v>
      </c>
      <c r="D173" s="35">
        <f>E139+H139</f>
        <v>604.77209020405576</v>
      </c>
      <c r="E173" s="35">
        <f>C139+H139</f>
        <v>599.77209020405576</v>
      </c>
      <c r="F173" s="35">
        <f>D173-E173</f>
        <v>5</v>
      </c>
      <c r="G173" s="138">
        <v>23.1</v>
      </c>
      <c r="H173" s="55">
        <f>E173-G173</f>
        <v>576.67209020405573</v>
      </c>
    </row>
    <row r="174" spans="2:8" x14ac:dyDescent="0.25">
      <c r="B174" s="2" t="s">
        <v>96</v>
      </c>
    </row>
    <row r="175" spans="2:8" x14ac:dyDescent="0.25">
      <c r="B175" s="56" t="s">
        <v>99</v>
      </c>
      <c r="C175" s="57"/>
      <c r="D175" s="57"/>
      <c r="E175" s="139">
        <f>ROUND(MIN(H169:H173),0)</f>
        <v>572</v>
      </c>
      <c r="F175" s="58" t="s">
        <v>5</v>
      </c>
    </row>
    <row r="177" spans="1:9" x14ac:dyDescent="0.25">
      <c r="B177" s="11" t="s">
        <v>100</v>
      </c>
      <c r="C177" s="11"/>
      <c r="D177" s="11"/>
      <c r="E177" s="11"/>
      <c r="F177" s="11"/>
      <c r="G177" s="11"/>
    </row>
    <row r="178" spans="1:9" x14ac:dyDescent="0.25">
      <c r="B178" s="11" t="s">
        <v>101</v>
      </c>
      <c r="C178" s="11"/>
      <c r="D178" s="11"/>
      <c r="E178" s="11"/>
      <c r="F178" s="11"/>
      <c r="G178" s="11"/>
    </row>
    <row r="179" spans="1:9" x14ac:dyDescent="0.25">
      <c r="A179" s="2" t="s">
        <v>125</v>
      </c>
      <c r="B179" s="2" t="s">
        <v>59</v>
      </c>
      <c r="H179" s="2">
        <f>H4</f>
        <v>453333.33333333331</v>
      </c>
      <c r="I179" s="2" t="s">
        <v>2</v>
      </c>
    </row>
    <row r="180" spans="1:9" x14ac:dyDescent="0.25">
      <c r="B180" s="5" t="s">
        <v>102</v>
      </c>
      <c r="C180" s="5"/>
      <c r="D180" s="5"/>
      <c r="E180" s="5"/>
      <c r="F180" s="5"/>
      <c r="G180" s="5"/>
      <c r="H180" s="13">
        <f>MAX(C113,C118,C122,)</f>
        <v>602</v>
      </c>
      <c r="I180" s="5" t="s">
        <v>5</v>
      </c>
    </row>
    <row r="181" spans="1:9" x14ac:dyDescent="0.25">
      <c r="B181" s="5" t="s">
        <v>61</v>
      </c>
      <c r="C181" s="5"/>
      <c r="D181" s="5"/>
      <c r="E181" s="5"/>
      <c r="F181" s="5"/>
      <c r="G181" s="5"/>
      <c r="H181" s="140">
        <v>604</v>
      </c>
      <c r="I181" s="5" t="s">
        <v>5</v>
      </c>
    </row>
    <row r="182" spans="1:9" x14ac:dyDescent="0.25">
      <c r="B182" s="5" t="s">
        <v>86</v>
      </c>
      <c r="C182" s="5"/>
      <c r="D182" s="5"/>
      <c r="E182" s="5"/>
      <c r="F182" s="5"/>
      <c r="G182" s="5"/>
      <c r="H182" s="10">
        <v>604.79</v>
      </c>
      <c r="I182" s="5" t="s">
        <v>5</v>
      </c>
    </row>
    <row r="183" spans="1:9" x14ac:dyDescent="0.25">
      <c r="B183" s="7" t="s">
        <v>88</v>
      </c>
      <c r="C183" s="7"/>
      <c r="D183" s="7"/>
      <c r="E183" s="7"/>
      <c r="F183" s="7"/>
      <c r="G183" s="7"/>
      <c r="H183" s="59">
        <v>585.99</v>
      </c>
      <c r="I183" s="7" t="s">
        <v>5</v>
      </c>
    </row>
    <row r="184" spans="1:9" x14ac:dyDescent="0.25">
      <c r="B184" s="2" t="s">
        <v>103</v>
      </c>
      <c r="H184" s="2">
        <f>H6</f>
        <v>582</v>
      </c>
      <c r="I184" s="2" t="s">
        <v>5</v>
      </c>
    </row>
    <row r="185" spans="1:9" x14ac:dyDescent="0.25">
      <c r="B185" s="2" t="s">
        <v>104</v>
      </c>
      <c r="H185" s="9">
        <f>H62</f>
        <v>590.16455684719301</v>
      </c>
      <c r="I185" s="2" t="s">
        <v>5</v>
      </c>
    </row>
    <row r="186" spans="1:9" x14ac:dyDescent="0.25">
      <c r="B186" s="2" t="s">
        <v>105</v>
      </c>
      <c r="H186" s="9">
        <f>H180-H183</f>
        <v>16.009999999999991</v>
      </c>
      <c r="I186" s="2" t="s">
        <v>5</v>
      </c>
    </row>
    <row r="187" spans="1:9" x14ac:dyDescent="0.25">
      <c r="B187" s="2" t="s">
        <v>473</v>
      </c>
      <c r="H187" s="9">
        <f>H179/(H186*H43)</f>
        <v>8.3650328096884348</v>
      </c>
      <c r="I187" s="2" t="s">
        <v>49</v>
      </c>
    </row>
    <row r="188" spans="1:9" ht="18.75" x14ac:dyDescent="0.25">
      <c r="B188" s="2" t="s">
        <v>474</v>
      </c>
      <c r="H188" s="9">
        <f>H187*H187/(2*32.2)</f>
        <v>1.0865492842727327</v>
      </c>
      <c r="I188" s="2" t="s">
        <v>5</v>
      </c>
    </row>
    <row r="189" spans="1:9" x14ac:dyDescent="0.25">
      <c r="B189" s="2" t="s">
        <v>107</v>
      </c>
      <c r="H189" s="9">
        <f>H180+H188</f>
        <v>603.08654928427268</v>
      </c>
      <c r="I189" s="2" t="s">
        <v>5</v>
      </c>
    </row>
    <row r="190" spans="1:9" x14ac:dyDescent="0.25">
      <c r="B190" s="2" t="s">
        <v>108</v>
      </c>
      <c r="H190" s="9">
        <f>H182-H185</f>
        <v>14.625443152806952</v>
      </c>
      <c r="I190" s="2" t="s">
        <v>5</v>
      </c>
    </row>
    <row r="191" spans="1:9" x14ac:dyDescent="0.25">
      <c r="B191" s="2" t="s">
        <v>109</v>
      </c>
      <c r="H191" s="9">
        <f>H182-H189</f>
        <v>1.7034507157272856</v>
      </c>
      <c r="I191" s="2" t="s">
        <v>5</v>
      </c>
    </row>
    <row r="192" spans="1:9" x14ac:dyDescent="0.25">
      <c r="B192" s="2" t="s">
        <v>110</v>
      </c>
      <c r="H192" s="9">
        <f>H179/H41</f>
        <v>151.11111111111111</v>
      </c>
      <c r="I192" s="2" t="s">
        <v>22</v>
      </c>
    </row>
    <row r="193" spans="1:9" ht="18.75" x14ac:dyDescent="0.25">
      <c r="B193" s="2" t="s">
        <v>389</v>
      </c>
      <c r="H193" s="9">
        <f>POWER(H192*H192/32.2,1/3)</f>
        <v>8.9175518271287721</v>
      </c>
      <c r="I193" s="2" t="s">
        <v>5</v>
      </c>
    </row>
    <row r="194" spans="1:9" x14ac:dyDescent="0.25">
      <c r="B194" s="2" t="s">
        <v>111</v>
      </c>
      <c r="H194" s="9">
        <f>H191/H193</f>
        <v>0.19102223892269252</v>
      </c>
    </row>
    <row r="195" spans="1:9" x14ac:dyDescent="0.25">
      <c r="B195" s="5" t="s">
        <v>112</v>
      </c>
      <c r="C195" s="5"/>
      <c r="D195" s="5"/>
      <c r="E195" s="5"/>
      <c r="F195" s="5"/>
      <c r="G195" s="5"/>
      <c r="H195" s="10">
        <v>2</v>
      </c>
      <c r="I195" s="5"/>
    </row>
    <row r="196" spans="1:9" x14ac:dyDescent="0.25">
      <c r="B196" s="2" t="s">
        <v>113</v>
      </c>
      <c r="H196" s="9">
        <f>H195*H193-H190</f>
        <v>3.2096605014505926</v>
      </c>
    </row>
    <row r="197" spans="1:9" x14ac:dyDescent="0.25">
      <c r="B197" s="2" t="s">
        <v>114</v>
      </c>
    </row>
    <row r="198" spans="1:9" x14ac:dyDescent="0.25">
      <c r="B198" s="60" t="s">
        <v>115</v>
      </c>
      <c r="H198" s="9">
        <f>H185-H196</f>
        <v>586.95489634574244</v>
      </c>
      <c r="I198" s="2" t="s">
        <v>5</v>
      </c>
    </row>
    <row r="199" spans="1:9" ht="18.75" x14ac:dyDescent="0.35">
      <c r="B199" s="2" t="s">
        <v>390</v>
      </c>
      <c r="H199" s="9">
        <f>H189-H198</f>
        <v>16.131652938530237</v>
      </c>
      <c r="I199" s="2" t="s">
        <v>5</v>
      </c>
    </row>
    <row r="200" spans="1:9" x14ac:dyDescent="0.25">
      <c r="B200" s="2" t="s">
        <v>391</v>
      </c>
      <c r="H200" s="9">
        <f>H198-H183</f>
        <v>0.96489634574243155</v>
      </c>
      <c r="I200" s="2" t="s">
        <v>5</v>
      </c>
    </row>
    <row r="201" spans="1:9" x14ac:dyDescent="0.25">
      <c r="B201" s="5" t="s">
        <v>116</v>
      </c>
      <c r="C201" s="5"/>
      <c r="D201" s="5"/>
      <c r="E201" s="5"/>
      <c r="F201" s="5"/>
      <c r="G201" s="5"/>
      <c r="H201" s="61" t="s">
        <v>117</v>
      </c>
      <c r="I201" s="62">
        <v>3</v>
      </c>
    </row>
    <row r="202" spans="1:9" x14ac:dyDescent="0.25">
      <c r="B202" s="2" t="s">
        <v>118</v>
      </c>
      <c r="H202" s="9">
        <f>H200*I201</f>
        <v>2.8946890372272946</v>
      </c>
      <c r="I202" s="2" t="s">
        <v>5</v>
      </c>
    </row>
    <row r="203" spans="1:9" ht="18.75" x14ac:dyDescent="0.35">
      <c r="B203" s="2" t="s">
        <v>392</v>
      </c>
      <c r="H203" s="9">
        <f>4.5*H199</f>
        <v>72.592438223386068</v>
      </c>
      <c r="I203" s="2" t="s">
        <v>5</v>
      </c>
    </row>
    <row r="204" spans="1:9" x14ac:dyDescent="0.25">
      <c r="B204" s="2" t="s">
        <v>393</v>
      </c>
      <c r="H204" s="9">
        <f>H203-H202</f>
        <v>69.697749186158774</v>
      </c>
      <c r="I204" s="2" t="s">
        <v>5</v>
      </c>
    </row>
    <row r="205" spans="1:9" x14ac:dyDescent="0.25">
      <c r="G205" s="2" t="s">
        <v>119</v>
      </c>
      <c r="H205" s="11">
        <f>ROUNDUP(H204,0)</f>
        <v>70</v>
      </c>
      <c r="I205" s="11" t="s">
        <v>5</v>
      </c>
    </row>
    <row r="206" spans="1:9" x14ac:dyDescent="0.25">
      <c r="A206" s="63" t="s">
        <v>120</v>
      </c>
    </row>
    <row r="207" spans="1:9" x14ac:dyDescent="0.25">
      <c r="B207" s="2" t="s">
        <v>59</v>
      </c>
      <c r="H207" s="2">
        <f>H4</f>
        <v>453333.33333333331</v>
      </c>
      <c r="I207" s="2" t="s">
        <v>2</v>
      </c>
    </row>
    <row r="208" spans="1:9" x14ac:dyDescent="0.25">
      <c r="B208" s="5" t="s">
        <v>121</v>
      </c>
      <c r="C208" s="5"/>
      <c r="D208" s="5"/>
      <c r="E208" s="5"/>
      <c r="F208" s="5"/>
      <c r="G208" s="5"/>
      <c r="H208" s="5">
        <f>MIN(C113,C118,C122)</f>
        <v>595.5</v>
      </c>
      <c r="I208" s="5" t="s">
        <v>5</v>
      </c>
    </row>
    <row r="209" spans="2:9" x14ac:dyDescent="0.25">
      <c r="B209" s="5" t="s">
        <v>61</v>
      </c>
      <c r="C209" s="5"/>
      <c r="D209" s="5"/>
      <c r="E209" s="5"/>
      <c r="F209" s="5"/>
      <c r="G209" s="5"/>
      <c r="H209" s="10">
        <v>602.5</v>
      </c>
      <c r="I209" s="5" t="s">
        <v>5</v>
      </c>
    </row>
    <row r="210" spans="2:9" x14ac:dyDescent="0.25">
      <c r="B210" s="5" t="s">
        <v>86</v>
      </c>
      <c r="C210" s="5"/>
      <c r="D210" s="5"/>
      <c r="E210" s="5"/>
      <c r="F210" s="5"/>
      <c r="G210" s="5"/>
      <c r="H210" s="10">
        <v>603.29</v>
      </c>
      <c r="I210" s="5" t="s">
        <v>5</v>
      </c>
    </row>
    <row r="211" spans="2:9" x14ac:dyDescent="0.25">
      <c r="B211" s="7" t="s">
        <v>88</v>
      </c>
      <c r="C211" s="7"/>
      <c r="D211" s="7"/>
      <c r="E211" s="7"/>
      <c r="F211" s="7"/>
      <c r="G211" s="7"/>
      <c r="H211" s="59">
        <f>D161</f>
        <v>576.48501943483075</v>
      </c>
      <c r="I211" s="7" t="s">
        <v>5</v>
      </c>
    </row>
    <row r="212" spans="2:9" x14ac:dyDescent="0.25">
      <c r="B212" s="2" t="s">
        <v>103</v>
      </c>
      <c r="H212" s="2">
        <f>H6</f>
        <v>582</v>
      </c>
      <c r="I212" s="2" t="s">
        <v>5</v>
      </c>
    </row>
    <row r="213" spans="2:9" x14ac:dyDescent="0.25">
      <c r="B213" s="2" t="s">
        <v>104</v>
      </c>
      <c r="H213" s="9">
        <f>H62</f>
        <v>590.16455684719301</v>
      </c>
      <c r="I213" s="2" t="s">
        <v>5</v>
      </c>
    </row>
    <row r="214" spans="2:9" x14ac:dyDescent="0.25">
      <c r="B214" s="2" t="s">
        <v>122</v>
      </c>
      <c r="H214" s="9">
        <f>H208-H211</f>
        <v>19.014980565169253</v>
      </c>
      <c r="I214" s="2" t="s">
        <v>5</v>
      </c>
    </row>
    <row r="215" spans="2:9" x14ac:dyDescent="0.25">
      <c r="B215" s="2" t="s">
        <v>106</v>
      </c>
      <c r="H215" s="9">
        <f>H207/(H214*H43)</f>
        <v>7.0430876762728731</v>
      </c>
      <c r="I215" s="2" t="s">
        <v>49</v>
      </c>
    </row>
    <row r="216" spans="2:9" ht="18.75" x14ac:dyDescent="0.25">
      <c r="B216" s="2" t="s">
        <v>388</v>
      </c>
      <c r="H216" s="9">
        <f>H215*H215/(2*32.2)</f>
        <v>0.77026527974637915</v>
      </c>
      <c r="I216" s="2" t="s">
        <v>5</v>
      </c>
    </row>
    <row r="217" spans="2:9" x14ac:dyDescent="0.25">
      <c r="B217" s="2" t="s">
        <v>123</v>
      </c>
      <c r="H217" s="9">
        <f>H208+H216</f>
        <v>596.27026527974635</v>
      </c>
      <c r="I217" s="2" t="s">
        <v>5</v>
      </c>
    </row>
    <row r="218" spans="2:9" x14ac:dyDescent="0.25">
      <c r="B218" s="2" t="s">
        <v>108</v>
      </c>
      <c r="H218" s="9">
        <f>H210-H213</f>
        <v>13.125443152806952</v>
      </c>
      <c r="I218" s="2" t="s">
        <v>5</v>
      </c>
    </row>
    <row r="219" spans="2:9" x14ac:dyDescent="0.25">
      <c r="B219" s="2" t="s">
        <v>109</v>
      </c>
      <c r="H219" s="9">
        <f>H210-H217</f>
        <v>7.0197347202536093</v>
      </c>
      <c r="I219" s="2" t="s">
        <v>5</v>
      </c>
    </row>
    <row r="220" spans="2:9" x14ac:dyDescent="0.25">
      <c r="B220" s="2" t="s">
        <v>110</v>
      </c>
      <c r="H220" s="9">
        <f>H207/H41</f>
        <v>151.11111111111111</v>
      </c>
      <c r="I220" s="2" t="s">
        <v>22</v>
      </c>
    </row>
    <row r="221" spans="2:9" ht="18.75" x14ac:dyDescent="0.25">
      <c r="B221" s="2" t="s">
        <v>389</v>
      </c>
      <c r="H221" s="9">
        <f>POWER(H220*H220/32.2,1/3)</f>
        <v>8.9175518271287721</v>
      </c>
      <c r="I221" s="2" t="s">
        <v>5</v>
      </c>
    </row>
    <row r="222" spans="2:9" x14ac:dyDescent="0.25">
      <c r="B222" s="2" t="s">
        <v>111</v>
      </c>
      <c r="H222" s="9">
        <f>H219/H221</f>
        <v>0.78718182482532184</v>
      </c>
    </row>
    <row r="223" spans="2:9" x14ac:dyDescent="0.25">
      <c r="B223" s="5" t="s">
        <v>112</v>
      </c>
      <c r="C223" s="5"/>
      <c r="D223" s="5"/>
      <c r="E223" s="5"/>
      <c r="F223" s="5"/>
      <c r="G223" s="5"/>
      <c r="H223" s="10">
        <v>2.8</v>
      </c>
      <c r="I223" s="5"/>
    </row>
    <row r="224" spans="2:9" x14ac:dyDescent="0.25">
      <c r="B224" s="2" t="s">
        <v>113</v>
      </c>
      <c r="H224" s="9">
        <f>H223*H221-H218</f>
        <v>11.84370196315361</v>
      </c>
      <c r="I224" s="2" t="s">
        <v>5</v>
      </c>
    </row>
    <row r="225" spans="1:9" x14ac:dyDescent="0.25">
      <c r="B225" s="2" t="s">
        <v>114</v>
      </c>
    </row>
    <row r="226" spans="1:9" x14ac:dyDescent="0.25">
      <c r="B226" s="60" t="s">
        <v>115</v>
      </c>
      <c r="H226" s="9">
        <f>H213-H224</f>
        <v>578.32085488403936</v>
      </c>
      <c r="I226" s="2" t="s">
        <v>5</v>
      </c>
    </row>
    <row r="227" spans="1:9" ht="18.75" x14ac:dyDescent="0.35">
      <c r="B227" s="2" t="s">
        <v>390</v>
      </c>
      <c r="H227" s="9">
        <f>H217-H226</f>
        <v>17.949410395706991</v>
      </c>
      <c r="I227" s="2" t="s">
        <v>5</v>
      </c>
    </row>
    <row r="228" spans="1:9" x14ac:dyDescent="0.25">
      <c r="B228" s="2" t="s">
        <v>391</v>
      </c>
      <c r="H228" s="9">
        <f>H226-H211</f>
        <v>1.8358354492086164</v>
      </c>
      <c r="I228" s="2" t="s">
        <v>5</v>
      </c>
    </row>
    <row r="229" spans="1:9" x14ac:dyDescent="0.25">
      <c r="B229" s="5" t="s">
        <v>116</v>
      </c>
      <c r="C229" s="5"/>
      <c r="D229" s="5"/>
      <c r="E229" s="5"/>
      <c r="F229" s="5"/>
      <c r="G229" s="5"/>
      <c r="H229" s="64" t="s">
        <v>117</v>
      </c>
      <c r="I229" s="62">
        <v>3</v>
      </c>
    </row>
    <row r="230" spans="1:9" x14ac:dyDescent="0.25">
      <c r="B230" s="2" t="s">
        <v>118</v>
      </c>
      <c r="H230" s="9">
        <f>I229*H228</f>
        <v>5.5075063476258492</v>
      </c>
      <c r="I230" s="2" t="s">
        <v>5</v>
      </c>
    </row>
    <row r="231" spans="1:9" ht="18.75" x14ac:dyDescent="0.35">
      <c r="B231" s="2" t="s">
        <v>392</v>
      </c>
      <c r="H231" s="9">
        <f>4.5*H227</f>
        <v>80.77234678068146</v>
      </c>
      <c r="I231" s="2" t="s">
        <v>5</v>
      </c>
    </row>
    <row r="232" spans="1:9" x14ac:dyDescent="0.25">
      <c r="B232" s="2" t="s">
        <v>393</v>
      </c>
      <c r="H232" s="9">
        <f>H231-H230</f>
        <v>75.26484043305561</v>
      </c>
      <c r="I232" s="2" t="s">
        <v>5</v>
      </c>
    </row>
    <row r="233" spans="1:9" x14ac:dyDescent="0.25">
      <c r="G233" s="63" t="s">
        <v>119</v>
      </c>
      <c r="H233" s="12">
        <f>ROUNDUP(H232,0)</f>
        <v>76</v>
      </c>
      <c r="I233" s="11" t="s">
        <v>5</v>
      </c>
    </row>
    <row r="234" spans="1:9" x14ac:dyDescent="0.25">
      <c r="B234" s="11" t="s">
        <v>488</v>
      </c>
      <c r="C234" s="11"/>
      <c r="D234" s="11"/>
      <c r="E234" s="12">
        <f>MAX(H233,H205)</f>
        <v>76</v>
      </c>
      <c r="F234" s="11" t="s">
        <v>5</v>
      </c>
    </row>
    <row r="235" spans="1:9" x14ac:dyDescent="0.25">
      <c r="B235" s="11"/>
      <c r="C235" s="11"/>
      <c r="D235" s="11"/>
      <c r="E235" s="12"/>
      <c r="F235" s="11"/>
    </row>
    <row r="236" spans="1:9" x14ac:dyDescent="0.25">
      <c r="B236" s="4" t="s">
        <v>124</v>
      </c>
    </row>
    <row r="237" spans="1:9" x14ac:dyDescent="0.25">
      <c r="A237" s="63" t="s">
        <v>125</v>
      </c>
    </row>
    <row r="238" spans="1:9" x14ac:dyDescent="0.25">
      <c r="B238" s="2" t="s">
        <v>59</v>
      </c>
      <c r="H238" s="2">
        <f>E128</f>
        <v>148785.57570198496</v>
      </c>
      <c r="I238" s="2" t="s">
        <v>2</v>
      </c>
    </row>
    <row r="239" spans="1:9" x14ac:dyDescent="0.25">
      <c r="B239" s="5" t="s">
        <v>102</v>
      </c>
      <c r="C239" s="5"/>
      <c r="D239" s="5"/>
      <c r="E239" s="5"/>
      <c r="F239" s="5"/>
      <c r="G239" s="5"/>
      <c r="H239" s="141">
        <f>MAX(C135,C137,C139)</f>
        <v>597.5</v>
      </c>
      <c r="I239" s="5" t="s">
        <v>5</v>
      </c>
    </row>
    <row r="240" spans="1:9" x14ac:dyDescent="0.25">
      <c r="B240" s="5" t="s">
        <v>61</v>
      </c>
      <c r="C240" s="5"/>
      <c r="D240" s="5"/>
      <c r="E240" s="5"/>
      <c r="F240" s="5"/>
      <c r="G240" s="5"/>
      <c r="H240" s="10">
        <v>602.5</v>
      </c>
      <c r="I240" s="5" t="s">
        <v>5</v>
      </c>
    </row>
    <row r="241" spans="2:9" x14ac:dyDescent="0.25">
      <c r="B241" s="5" t="s">
        <v>86</v>
      </c>
      <c r="C241" s="5"/>
      <c r="D241" s="5"/>
      <c r="E241" s="5"/>
      <c r="F241" s="5"/>
      <c r="G241" s="5"/>
      <c r="H241" s="10">
        <v>604.77</v>
      </c>
      <c r="I241" s="5" t="s">
        <v>5</v>
      </c>
    </row>
    <row r="242" spans="2:9" x14ac:dyDescent="0.25">
      <c r="B242" s="7" t="s">
        <v>88</v>
      </c>
      <c r="C242" s="7"/>
      <c r="D242" s="7"/>
      <c r="E242" s="7"/>
      <c r="F242" s="7"/>
      <c r="G242" s="7"/>
      <c r="H242" s="59">
        <f>E175</f>
        <v>572</v>
      </c>
      <c r="I242" s="7" t="s">
        <v>5</v>
      </c>
    </row>
    <row r="243" spans="2:9" x14ac:dyDescent="0.25">
      <c r="B243" s="2" t="s">
        <v>103</v>
      </c>
      <c r="H243" s="2">
        <f>H6</f>
        <v>582</v>
      </c>
      <c r="I243" s="2" t="s">
        <v>5</v>
      </c>
    </row>
    <row r="244" spans="2:9" x14ac:dyDescent="0.25">
      <c r="B244" s="2" t="s">
        <v>104</v>
      </c>
      <c r="H244" s="9">
        <f>H82</f>
        <v>587.16455684719301</v>
      </c>
      <c r="I244" s="2" t="s">
        <v>5</v>
      </c>
    </row>
    <row r="245" spans="2:9" x14ac:dyDescent="0.25">
      <c r="B245" s="2" t="s">
        <v>105</v>
      </c>
      <c r="H245" s="2">
        <f>H239-H242</f>
        <v>25.5</v>
      </c>
      <c r="I245" s="2" t="s">
        <v>5</v>
      </c>
    </row>
    <row r="246" spans="2:9" x14ac:dyDescent="0.25">
      <c r="B246" s="2" t="s">
        <v>106</v>
      </c>
      <c r="H246" s="16">
        <f>H238/(H245*H83)</f>
        <v>9.724547431502284</v>
      </c>
      <c r="I246" s="2" t="s">
        <v>49</v>
      </c>
    </row>
    <row r="247" spans="2:9" ht="18.75" x14ac:dyDescent="0.25">
      <c r="B247" s="2" t="s">
        <v>388</v>
      </c>
      <c r="H247" s="9">
        <f>H246*H246/(2*32.2)</f>
        <v>1.4684289246512059</v>
      </c>
      <c r="I247" s="2" t="s">
        <v>5</v>
      </c>
    </row>
    <row r="248" spans="2:9" x14ac:dyDescent="0.25">
      <c r="B248" s="2" t="s">
        <v>107</v>
      </c>
      <c r="H248" s="9">
        <f>H239+H247</f>
        <v>598.96842892465122</v>
      </c>
      <c r="I248" s="2" t="s">
        <v>5</v>
      </c>
    </row>
    <row r="249" spans="2:9" x14ac:dyDescent="0.25">
      <c r="B249" s="2" t="s">
        <v>108</v>
      </c>
      <c r="H249" s="9">
        <f>H241-H244</f>
        <v>17.60544315280697</v>
      </c>
      <c r="I249" s="2" t="s">
        <v>5</v>
      </c>
    </row>
    <row r="250" spans="2:9" x14ac:dyDescent="0.25">
      <c r="B250" s="2" t="s">
        <v>109</v>
      </c>
      <c r="H250" s="9">
        <f>H241-H248</f>
        <v>5.801571075348761</v>
      </c>
      <c r="I250" s="2" t="s">
        <v>5</v>
      </c>
    </row>
    <row r="251" spans="2:9" x14ac:dyDescent="0.25">
      <c r="B251" s="2" t="s">
        <v>110</v>
      </c>
      <c r="H251" s="16">
        <f>H238/(H83)</f>
        <v>247.97595950330825</v>
      </c>
      <c r="I251" s="2" t="s">
        <v>22</v>
      </c>
    </row>
    <row r="252" spans="2:9" ht="18.75" x14ac:dyDescent="0.25">
      <c r="B252" s="2" t="s">
        <v>389</v>
      </c>
      <c r="H252" s="9">
        <f>POWER(H251*H251/32.2,1/3)</f>
        <v>12.40664709628539</v>
      </c>
      <c r="I252" s="2" t="s">
        <v>5</v>
      </c>
    </row>
    <row r="253" spans="2:9" x14ac:dyDescent="0.25">
      <c r="B253" s="2" t="s">
        <v>111</v>
      </c>
      <c r="H253" s="9">
        <f>H250/H252</f>
        <v>0.46761796562149166</v>
      </c>
    </row>
    <row r="254" spans="2:9" x14ac:dyDescent="0.25">
      <c r="B254" s="5" t="s">
        <v>112</v>
      </c>
      <c r="C254" s="5"/>
      <c r="D254" s="5"/>
      <c r="E254" s="5"/>
      <c r="F254" s="5"/>
      <c r="G254" s="5"/>
      <c r="H254" s="10">
        <v>2.4</v>
      </c>
      <c r="I254" s="5"/>
    </row>
    <row r="255" spans="2:9" x14ac:dyDescent="0.25">
      <c r="B255" s="2" t="s">
        <v>489</v>
      </c>
      <c r="H255" s="9">
        <f>H254*H252-H249</f>
        <v>12.170509878277965</v>
      </c>
      <c r="I255" s="2" t="s">
        <v>5</v>
      </c>
    </row>
    <row r="256" spans="2:9" x14ac:dyDescent="0.25">
      <c r="B256" s="2" t="s">
        <v>114</v>
      </c>
    </row>
    <row r="257" spans="1:9" x14ac:dyDescent="0.25">
      <c r="B257" s="60" t="s">
        <v>115</v>
      </c>
      <c r="H257" s="9">
        <f>H244-H255</f>
        <v>574.99404696891509</v>
      </c>
      <c r="I257" s="2" t="s">
        <v>5</v>
      </c>
    </row>
    <row r="258" spans="1:9" ht="18.75" x14ac:dyDescent="0.35">
      <c r="B258" s="2" t="s">
        <v>390</v>
      </c>
      <c r="H258" s="9">
        <f>H248-H257</f>
        <v>23.974381955736135</v>
      </c>
      <c r="I258" s="2" t="s">
        <v>5</v>
      </c>
    </row>
    <row r="259" spans="1:9" x14ac:dyDescent="0.25">
      <c r="B259" s="2" t="s">
        <v>391</v>
      </c>
      <c r="H259" s="9">
        <f>H257-H242</f>
        <v>2.9940469689150859</v>
      </c>
      <c r="I259" s="2" t="s">
        <v>5</v>
      </c>
    </row>
    <row r="260" spans="1:9" x14ac:dyDescent="0.25">
      <c r="B260" s="5" t="s">
        <v>116</v>
      </c>
      <c r="C260" s="5"/>
      <c r="D260" s="5"/>
      <c r="E260" s="5"/>
      <c r="F260" s="5"/>
      <c r="G260" s="5"/>
      <c r="H260" s="66" t="s">
        <v>117</v>
      </c>
      <c r="I260" s="62">
        <v>3</v>
      </c>
    </row>
    <row r="261" spans="1:9" x14ac:dyDescent="0.25">
      <c r="B261" s="2" t="s">
        <v>118</v>
      </c>
      <c r="H261" s="9">
        <f>I260*H259</f>
        <v>8.9821409067452578</v>
      </c>
      <c r="I261" s="2" t="s">
        <v>5</v>
      </c>
    </row>
    <row r="262" spans="1:9" ht="18.75" x14ac:dyDescent="0.35">
      <c r="B262" s="2" t="s">
        <v>392</v>
      </c>
      <c r="H262" s="8">
        <f>4.5*H258</f>
        <v>107.88471880081261</v>
      </c>
      <c r="I262" s="2" t="s">
        <v>5</v>
      </c>
    </row>
    <row r="263" spans="1:9" x14ac:dyDescent="0.25">
      <c r="B263" s="2" t="s">
        <v>393</v>
      </c>
      <c r="H263" s="9">
        <f>H262-H261</f>
        <v>98.902577894067349</v>
      </c>
      <c r="I263" s="2" t="s">
        <v>5</v>
      </c>
    </row>
    <row r="264" spans="1:9" x14ac:dyDescent="0.25">
      <c r="G264" s="11" t="s">
        <v>119</v>
      </c>
      <c r="H264" s="12">
        <f>ROUNDUP(H263,0)</f>
        <v>99</v>
      </c>
      <c r="I264" s="11" t="s">
        <v>5</v>
      </c>
    </row>
    <row r="265" spans="1:9" x14ac:dyDescent="0.25">
      <c r="A265" s="63" t="s">
        <v>120</v>
      </c>
    </row>
    <row r="266" spans="1:9" x14ac:dyDescent="0.25">
      <c r="B266" s="2" t="s">
        <v>59</v>
      </c>
      <c r="H266" s="2">
        <f>E128</f>
        <v>148785.57570198496</v>
      </c>
      <c r="I266" s="2" t="s">
        <v>2</v>
      </c>
    </row>
    <row r="267" spans="1:9" x14ac:dyDescent="0.25">
      <c r="B267" s="5" t="s">
        <v>121</v>
      </c>
      <c r="C267" s="5"/>
      <c r="D267" s="5"/>
      <c r="E267" s="5"/>
      <c r="F267" s="5"/>
      <c r="G267" s="5"/>
      <c r="H267" s="141">
        <f>MIN(C135,C137,C139)</f>
        <v>584.5</v>
      </c>
      <c r="I267" s="5" t="s">
        <v>5</v>
      </c>
    </row>
    <row r="268" spans="1:9" x14ac:dyDescent="0.25">
      <c r="B268" s="5" t="s">
        <v>61</v>
      </c>
      <c r="C268" s="5"/>
      <c r="D268" s="5"/>
      <c r="E268" s="5"/>
      <c r="F268" s="5"/>
      <c r="G268" s="5"/>
      <c r="H268" s="10">
        <v>590.5</v>
      </c>
      <c r="I268" s="5" t="s">
        <v>5</v>
      </c>
    </row>
    <row r="269" spans="1:9" x14ac:dyDescent="0.25">
      <c r="B269" s="5" t="s">
        <v>86</v>
      </c>
      <c r="C269" s="5"/>
      <c r="D269" s="5"/>
      <c r="E269" s="5"/>
      <c r="F269" s="5"/>
      <c r="G269" s="5"/>
      <c r="H269" s="10">
        <v>603.72</v>
      </c>
      <c r="I269" s="5" t="s">
        <v>5</v>
      </c>
    </row>
    <row r="270" spans="1:9" x14ac:dyDescent="0.25">
      <c r="B270" s="7" t="s">
        <v>88</v>
      </c>
      <c r="C270" s="7"/>
      <c r="D270" s="7"/>
      <c r="E270" s="7"/>
      <c r="F270" s="7"/>
      <c r="G270" s="7"/>
      <c r="H270" s="59">
        <f>E175</f>
        <v>572</v>
      </c>
      <c r="I270" s="7" t="s">
        <v>5</v>
      </c>
    </row>
    <row r="271" spans="1:9" x14ac:dyDescent="0.25">
      <c r="B271" s="2" t="s">
        <v>103</v>
      </c>
      <c r="H271" s="2">
        <f>H6</f>
        <v>582</v>
      </c>
      <c r="I271" s="2" t="s">
        <v>5</v>
      </c>
    </row>
    <row r="272" spans="1:9" x14ac:dyDescent="0.25">
      <c r="B272" s="2" t="s">
        <v>104</v>
      </c>
      <c r="H272" s="9">
        <f>H82</f>
        <v>587.16455684719301</v>
      </c>
      <c r="I272" s="2" t="s">
        <v>5</v>
      </c>
    </row>
    <row r="273" spans="2:9" x14ac:dyDescent="0.25">
      <c r="B273" s="2" t="s">
        <v>122</v>
      </c>
      <c r="H273" s="2">
        <f>H267-H270</f>
        <v>12.5</v>
      </c>
      <c r="I273" s="2" t="s">
        <v>5</v>
      </c>
    </row>
    <row r="274" spans="2:9" x14ac:dyDescent="0.25">
      <c r="B274" s="2" t="s">
        <v>106</v>
      </c>
      <c r="H274" s="9">
        <f>H266/(H273*H83)</f>
        <v>19.838076760264659</v>
      </c>
      <c r="I274" s="2" t="s">
        <v>49</v>
      </c>
    </row>
    <row r="275" spans="2:9" ht="18.75" x14ac:dyDescent="0.25">
      <c r="B275" s="2" t="s">
        <v>388</v>
      </c>
      <c r="H275" s="9">
        <f>H274*H274/(2*32.2)</f>
        <v>6.1110138128284586</v>
      </c>
      <c r="I275" s="2" t="s">
        <v>5</v>
      </c>
    </row>
    <row r="276" spans="2:9" x14ac:dyDescent="0.25">
      <c r="B276" s="2" t="s">
        <v>107</v>
      </c>
      <c r="H276" s="9">
        <f>H267+H275</f>
        <v>590.61101381282845</v>
      </c>
      <c r="I276" s="2" t="s">
        <v>5</v>
      </c>
    </row>
    <row r="277" spans="2:9" x14ac:dyDescent="0.25">
      <c r="B277" s="2" t="s">
        <v>108</v>
      </c>
      <c r="H277" s="9">
        <f>H269-H272</f>
        <v>16.555443152807015</v>
      </c>
      <c r="I277" s="2" t="s">
        <v>5</v>
      </c>
    </row>
    <row r="278" spans="2:9" x14ac:dyDescent="0.25">
      <c r="B278" s="2" t="s">
        <v>109</v>
      </c>
      <c r="H278" s="9">
        <f>H269-H276</f>
        <v>13.108986187171581</v>
      </c>
      <c r="I278" s="2" t="s">
        <v>5</v>
      </c>
    </row>
    <row r="279" spans="2:9" x14ac:dyDescent="0.25">
      <c r="B279" s="2" t="s">
        <v>110</v>
      </c>
      <c r="H279" s="16">
        <f>H266/(H83)</f>
        <v>247.97595950330825</v>
      </c>
      <c r="I279" s="2" t="s">
        <v>22</v>
      </c>
    </row>
    <row r="280" spans="2:9" ht="18.75" x14ac:dyDescent="0.25">
      <c r="B280" s="2" t="s">
        <v>389</v>
      </c>
      <c r="H280" s="9">
        <f>POWER(H279*H279/32.2,1/3)</f>
        <v>12.40664709628539</v>
      </c>
      <c r="I280" s="2" t="s">
        <v>5</v>
      </c>
    </row>
    <row r="281" spans="2:9" x14ac:dyDescent="0.25">
      <c r="B281" s="2" t="s">
        <v>111</v>
      </c>
      <c r="H281" s="9">
        <f>H278/H280</f>
        <v>1.05660990317815</v>
      </c>
    </row>
    <row r="282" spans="2:9" x14ac:dyDescent="0.25">
      <c r="B282" s="5" t="s">
        <v>112</v>
      </c>
      <c r="C282" s="5"/>
      <c r="D282" s="5"/>
      <c r="E282" s="5"/>
      <c r="F282" s="5"/>
      <c r="G282" s="5"/>
      <c r="H282" s="10">
        <v>3.2</v>
      </c>
      <c r="I282" s="5"/>
    </row>
    <row r="283" spans="2:9" x14ac:dyDescent="0.25">
      <c r="B283" s="2" t="s">
        <v>489</v>
      </c>
      <c r="H283" s="9">
        <f>H282*H280-H277</f>
        <v>23.145827555306234</v>
      </c>
      <c r="I283" s="2" t="s">
        <v>5</v>
      </c>
    </row>
    <row r="284" spans="2:9" x14ac:dyDescent="0.25">
      <c r="B284" s="2" t="s">
        <v>114</v>
      </c>
    </row>
    <row r="285" spans="2:9" x14ac:dyDescent="0.25">
      <c r="B285" s="60" t="s">
        <v>115</v>
      </c>
      <c r="H285" s="9">
        <f>H272-H283</f>
        <v>564.01872929188676</v>
      </c>
      <c r="I285" s="2" t="s">
        <v>5</v>
      </c>
    </row>
    <row r="286" spans="2:9" ht="18.75" x14ac:dyDescent="0.35">
      <c r="B286" s="2" t="s">
        <v>390</v>
      </c>
      <c r="H286" s="9">
        <f>H276-H285</f>
        <v>26.592284520941689</v>
      </c>
      <c r="I286" s="2" t="s">
        <v>5</v>
      </c>
    </row>
    <row r="287" spans="2:9" x14ac:dyDescent="0.25">
      <c r="B287" s="2" t="s">
        <v>391</v>
      </c>
      <c r="H287" s="9">
        <f>H285-H270</f>
        <v>-7.981270708113243</v>
      </c>
      <c r="I287" s="2" t="s">
        <v>5</v>
      </c>
    </row>
    <row r="288" spans="2:9" x14ac:dyDescent="0.25">
      <c r="B288" s="5" t="s">
        <v>116</v>
      </c>
      <c r="C288" s="5"/>
      <c r="D288" s="5"/>
      <c r="E288" s="5"/>
      <c r="F288" s="5"/>
      <c r="G288" s="5"/>
      <c r="H288" s="66" t="s">
        <v>117</v>
      </c>
      <c r="I288" s="62">
        <v>3</v>
      </c>
    </row>
    <row r="289" spans="2:11" x14ac:dyDescent="0.25">
      <c r="B289" s="2" t="s">
        <v>118</v>
      </c>
      <c r="H289" s="9">
        <f>I288*H287</f>
        <v>-23.943812124339729</v>
      </c>
      <c r="I289" s="2" t="s">
        <v>5</v>
      </c>
    </row>
    <row r="290" spans="2:11" ht="18.75" x14ac:dyDescent="0.35">
      <c r="B290" s="2" t="s">
        <v>392</v>
      </c>
      <c r="H290" s="8">
        <f>4.5*H286</f>
        <v>119.6652803442376</v>
      </c>
      <c r="I290" s="2" t="s">
        <v>5</v>
      </c>
    </row>
    <row r="291" spans="2:11" x14ac:dyDescent="0.25">
      <c r="B291" s="2" t="s">
        <v>393</v>
      </c>
      <c r="H291" s="9">
        <f>H290-H289</f>
        <v>143.60909246857733</v>
      </c>
      <c r="I291" s="2" t="s">
        <v>5</v>
      </c>
    </row>
    <row r="292" spans="2:11" x14ac:dyDescent="0.25">
      <c r="G292" s="11" t="s">
        <v>119</v>
      </c>
      <c r="H292" s="67">
        <f>ROUNDUP(H291,0)</f>
        <v>144</v>
      </c>
      <c r="I292" s="11" t="s">
        <v>5</v>
      </c>
    </row>
    <row r="294" spans="2:11" ht="16.5" x14ac:dyDescent="0.25">
      <c r="B294" s="68" t="s">
        <v>126</v>
      </c>
      <c r="C294" s="69"/>
      <c r="D294" s="69"/>
      <c r="E294" s="69"/>
      <c r="F294" s="69"/>
      <c r="G294" s="68"/>
      <c r="H294" s="70">
        <f>MAX(H292,H264,H233,H205)</f>
        <v>144</v>
      </c>
      <c r="I294" s="69" t="s">
        <v>5</v>
      </c>
    </row>
    <row r="295" spans="2:11" ht="184.5" customHeight="1" x14ac:dyDescent="0.25"/>
    <row r="296" spans="2:11" x14ac:dyDescent="0.25">
      <c r="B296" s="4" t="s">
        <v>127</v>
      </c>
    </row>
    <row r="298" spans="2:11" x14ac:dyDescent="0.25">
      <c r="B298" s="11" t="s">
        <v>128</v>
      </c>
    </row>
    <row r="300" spans="2:11" ht="18.75" x14ac:dyDescent="0.3">
      <c r="B300" s="71" t="s">
        <v>129</v>
      </c>
      <c r="C300" s="5"/>
      <c r="D300" s="5"/>
      <c r="E300" s="5"/>
      <c r="F300" s="5"/>
      <c r="G300" s="5"/>
      <c r="H300" s="13">
        <v>1</v>
      </c>
      <c r="I300" s="5"/>
      <c r="J300" s="5"/>
      <c r="K300" s="5"/>
    </row>
    <row r="301" spans="2:11" x14ac:dyDescent="0.25">
      <c r="B301" s="2" t="s">
        <v>491</v>
      </c>
      <c r="H301" s="9">
        <f>D161</f>
        <v>576.48501943483075</v>
      </c>
      <c r="I301" s="2" t="s">
        <v>5</v>
      </c>
    </row>
    <row r="303" spans="2:11" x14ac:dyDescent="0.25">
      <c r="B303" s="2" t="s">
        <v>130</v>
      </c>
      <c r="H303" s="230">
        <f>H4</f>
        <v>453333.33333333331</v>
      </c>
      <c r="I303" s="230"/>
      <c r="J303" s="230">
        <f>H303/2</f>
        <v>226666.66666666666</v>
      </c>
      <c r="K303" s="230"/>
    </row>
    <row r="304" spans="2:11" ht="18.75" x14ac:dyDescent="0.35">
      <c r="B304" s="2" t="s">
        <v>394</v>
      </c>
      <c r="H304" s="230">
        <f>0.8*H303</f>
        <v>362666.66666666669</v>
      </c>
      <c r="I304" s="230"/>
      <c r="J304" s="230">
        <f>0.8*J303</f>
        <v>181333.33333333334</v>
      </c>
      <c r="K304" s="230"/>
    </row>
    <row r="305" spans="1:11" x14ac:dyDescent="0.25">
      <c r="H305" s="150" t="s">
        <v>131</v>
      </c>
      <c r="I305" s="150" t="s">
        <v>132</v>
      </c>
      <c r="J305" s="150" t="s">
        <v>131</v>
      </c>
      <c r="K305" s="150" t="s">
        <v>132</v>
      </c>
    </row>
    <row r="306" spans="1:11" x14ac:dyDescent="0.25">
      <c r="B306" s="7" t="s">
        <v>133</v>
      </c>
      <c r="C306" s="7"/>
      <c r="D306" s="7"/>
      <c r="E306" s="7"/>
      <c r="F306" s="7"/>
      <c r="G306" s="7"/>
      <c r="H306" s="162">
        <f>H182</f>
        <v>604.79</v>
      </c>
      <c r="I306" s="162">
        <f>H210</f>
        <v>603.29</v>
      </c>
      <c r="J306" s="163">
        <f>MAX(D151,D155,D159)</f>
        <v>601.97219901695621</v>
      </c>
      <c r="K306" s="163">
        <f>MIN(D151,D155,D159)</f>
        <v>598.47219901695621</v>
      </c>
    </row>
    <row r="307" spans="1:11" x14ac:dyDescent="0.25">
      <c r="B307" s="160" t="s">
        <v>134</v>
      </c>
      <c r="C307" s="7"/>
      <c r="D307" s="7"/>
      <c r="E307" s="7"/>
      <c r="F307" s="7"/>
      <c r="G307" s="7"/>
      <c r="H307" s="163">
        <f>H180</f>
        <v>602</v>
      </c>
      <c r="I307" s="164">
        <f>H208</f>
        <v>595.5</v>
      </c>
      <c r="J307" s="165">
        <v>600.5</v>
      </c>
      <c r="K307" s="165">
        <v>591</v>
      </c>
    </row>
    <row r="308" spans="1:11" x14ac:dyDescent="0.25">
      <c r="B308" s="2" t="s">
        <v>135</v>
      </c>
      <c r="H308" s="158">
        <f>H306-$H$301</f>
        <v>28.304980565169217</v>
      </c>
      <c r="I308" s="158">
        <f>I306-$H$301</f>
        <v>26.804980565169217</v>
      </c>
      <c r="J308" s="158">
        <f>J306-$H$301</f>
        <v>25.487179582125464</v>
      </c>
      <c r="K308" s="158">
        <f>K306-$H$301</f>
        <v>21.987179582125464</v>
      </c>
    </row>
    <row r="309" spans="1:11" ht="18.75" x14ac:dyDescent="0.35">
      <c r="B309" s="2" t="s">
        <v>395</v>
      </c>
      <c r="H309" s="158">
        <f>H304/(H41-H83)</f>
        <v>151.11111111111111</v>
      </c>
      <c r="I309" s="158">
        <f>H309</f>
        <v>151.11111111111111</v>
      </c>
      <c r="J309" s="158">
        <f>J304/(H41-H83)</f>
        <v>75.555555555555557</v>
      </c>
      <c r="K309" s="158">
        <f>J309</f>
        <v>75.555555555555557</v>
      </c>
    </row>
    <row r="310" spans="1:11" ht="18.75" x14ac:dyDescent="0.35">
      <c r="B310" s="2" t="s">
        <v>396</v>
      </c>
      <c r="H310" s="158">
        <f>H307-$H$301</f>
        <v>25.514980565169253</v>
      </c>
      <c r="I310" s="158">
        <f>I307-$H$301</f>
        <v>19.014980565169253</v>
      </c>
      <c r="J310" s="158">
        <f>J307-$H$301</f>
        <v>24.014980565169253</v>
      </c>
      <c r="K310" s="158">
        <f>K307-$H$301</f>
        <v>14.514980565169253</v>
      </c>
    </row>
    <row r="311" spans="1:11" ht="18.75" x14ac:dyDescent="0.25">
      <c r="B311" s="2" t="s">
        <v>397</v>
      </c>
      <c r="H311" s="166">
        <f>H309/POWER(H308,3/2)</f>
        <v>1.0034647184029588</v>
      </c>
      <c r="I311" s="166">
        <f>I309/POWER(I308,3/2)</f>
        <v>1.0888627827664474</v>
      </c>
      <c r="J311" s="166">
        <f>J309/POWER(J308,3/2)</f>
        <v>0.58719687383626518</v>
      </c>
      <c r="K311" s="166">
        <f>K309/POWER(K308,3/2)</f>
        <v>0.73284498109375806</v>
      </c>
    </row>
    <row r="312" spans="1:11" x14ac:dyDescent="0.25">
      <c r="B312" s="231" t="s">
        <v>136</v>
      </c>
      <c r="C312" s="231"/>
      <c r="D312" s="231"/>
      <c r="E312" s="5" t="s">
        <v>137</v>
      </c>
      <c r="F312" s="5"/>
      <c r="G312" s="5"/>
      <c r="H312" s="167">
        <v>1.1339999999999999</v>
      </c>
      <c r="I312" s="167">
        <v>0.14699999999999999</v>
      </c>
      <c r="J312" s="167">
        <v>7.6100000000000001E-2</v>
      </c>
      <c r="K312" s="167">
        <v>9.6000000000000002E-2</v>
      </c>
    </row>
    <row r="313" spans="1:11" x14ac:dyDescent="0.25">
      <c r="B313" s="231"/>
      <c r="C313" s="231"/>
      <c r="D313" s="231"/>
      <c r="E313" s="5" t="s">
        <v>138</v>
      </c>
      <c r="F313" s="5"/>
      <c r="G313" s="5"/>
      <c r="H313" s="167">
        <v>0.61809999999999998</v>
      </c>
      <c r="I313" s="167">
        <v>0.63849999999999996</v>
      </c>
      <c r="J313" s="167">
        <v>0.49359999999999998</v>
      </c>
      <c r="K313" s="167">
        <v>0.54320000000000002</v>
      </c>
    </row>
    <row r="314" spans="1:11" ht="18.75" x14ac:dyDescent="0.35">
      <c r="A314" s="2" t="s">
        <v>139</v>
      </c>
      <c r="B314" s="232" t="s">
        <v>140</v>
      </c>
      <c r="C314" s="232"/>
      <c r="D314" s="232"/>
      <c r="E314" s="2" t="s">
        <v>398</v>
      </c>
      <c r="H314" s="158">
        <f>H312*H308</f>
        <v>32.097847960901888</v>
      </c>
      <c r="I314" s="158">
        <f>I312*I308</f>
        <v>3.9403321430798748</v>
      </c>
      <c r="J314" s="158">
        <f>J312*J308</f>
        <v>1.9395743661997478</v>
      </c>
      <c r="K314" s="158">
        <f>K312*K308</f>
        <v>2.1107692398840445</v>
      </c>
    </row>
    <row r="315" spans="1:11" ht="18.75" x14ac:dyDescent="0.35">
      <c r="B315" s="232"/>
      <c r="C315" s="232"/>
      <c r="D315" s="232"/>
      <c r="E315" s="2" t="s">
        <v>399</v>
      </c>
      <c r="H315" s="158">
        <f>H313*H308</f>
        <v>17.495308487331091</v>
      </c>
      <c r="I315" s="158">
        <f>I313*I308</f>
        <v>17.114980090860545</v>
      </c>
      <c r="J315" s="158">
        <f>J313*J308</f>
        <v>12.580471841737129</v>
      </c>
      <c r="K315" s="158">
        <f>K313*K308</f>
        <v>11.943435949010553</v>
      </c>
    </row>
    <row r="316" spans="1:11" ht="18.75" x14ac:dyDescent="0.35">
      <c r="B316" s="2" t="s">
        <v>400</v>
      </c>
      <c r="H316" s="158">
        <f>H310-H315</f>
        <v>8.0196720778381625</v>
      </c>
      <c r="I316" s="158">
        <f>I310-I315</f>
        <v>1.9000004743087082</v>
      </c>
      <c r="J316" s="158">
        <f>J310-J315</f>
        <v>11.434508723432124</v>
      </c>
      <c r="K316" s="158">
        <f>K310-K315</f>
        <v>2.5715446161587003</v>
      </c>
    </row>
    <row r="317" spans="1:11" x14ac:dyDescent="0.25">
      <c r="B317" s="2" t="s">
        <v>141</v>
      </c>
      <c r="H317" s="157" t="str">
        <f>IF(H316&lt;$H$294,"O.K","NOT O.K")</f>
        <v>O.K</v>
      </c>
      <c r="I317" s="157" t="str">
        <f>IF(I316&lt;$H$294,"O.K","NOT O.K")</f>
        <v>O.K</v>
      </c>
      <c r="J317" s="157" t="str">
        <f>IF(J316&lt;$H$294,"O.K","NOT O.K")</f>
        <v>O.K</v>
      </c>
      <c r="K317" s="157" t="str">
        <f>IF(K316&lt;$H$294,"O.K","NOT O.K")</f>
        <v>O.K</v>
      </c>
    </row>
    <row r="318" spans="1:11" x14ac:dyDescent="0.25">
      <c r="B318" s="2" t="s">
        <v>490</v>
      </c>
      <c r="H318" s="72"/>
      <c r="I318" s="72"/>
      <c r="J318" s="72"/>
      <c r="K318" s="72"/>
    </row>
    <row r="319" spans="1:11" x14ac:dyDescent="0.25">
      <c r="B319" s="11" t="s">
        <v>142</v>
      </c>
    </row>
    <row r="321" spans="2:11" ht="18.75" x14ac:dyDescent="0.3">
      <c r="B321" s="71" t="s">
        <v>129</v>
      </c>
      <c r="C321" s="5"/>
      <c r="D321" s="5"/>
      <c r="E321" s="5"/>
      <c r="F321" s="5"/>
      <c r="G321" s="5"/>
      <c r="H321" s="5"/>
      <c r="I321" s="13">
        <v>1</v>
      </c>
      <c r="J321" s="5"/>
      <c r="K321" s="5"/>
    </row>
    <row r="322" spans="2:11" x14ac:dyDescent="0.25">
      <c r="B322" s="2" t="s">
        <v>491</v>
      </c>
      <c r="I322" s="9">
        <f>E175</f>
        <v>572</v>
      </c>
      <c r="J322" s="2" t="s">
        <v>5</v>
      </c>
    </row>
    <row r="324" spans="2:11" x14ac:dyDescent="0.25">
      <c r="B324" s="2" t="s">
        <v>130</v>
      </c>
      <c r="I324" s="230">
        <f>H4</f>
        <v>453333.33333333331</v>
      </c>
      <c r="J324" s="230"/>
    </row>
    <row r="325" spans="2:11" x14ac:dyDescent="0.25">
      <c r="B325" s="2" t="s">
        <v>143</v>
      </c>
      <c r="I325" s="233">
        <f>1.2*H97</f>
        <v>148785.57570198496</v>
      </c>
      <c r="J325" s="233"/>
    </row>
    <row r="326" spans="2:11" x14ac:dyDescent="0.25">
      <c r="I326" s="24" t="s">
        <v>144</v>
      </c>
      <c r="J326" s="24" t="s">
        <v>145</v>
      </c>
    </row>
    <row r="327" spans="2:11" x14ac:dyDescent="0.25">
      <c r="B327" s="5" t="s">
        <v>133</v>
      </c>
      <c r="C327" s="5"/>
      <c r="D327" s="5"/>
      <c r="E327" s="5"/>
      <c r="F327" s="5"/>
      <c r="G327" s="5"/>
      <c r="H327" s="5"/>
      <c r="I327" s="25">
        <f>H241</f>
        <v>604.77</v>
      </c>
      <c r="J327" s="73">
        <f>H269</f>
        <v>603.72</v>
      </c>
      <c r="K327" s="5"/>
    </row>
    <row r="328" spans="2:11" x14ac:dyDescent="0.25">
      <c r="B328" s="5" t="s">
        <v>134</v>
      </c>
      <c r="C328" s="5"/>
      <c r="D328" s="5"/>
      <c r="E328" s="5"/>
      <c r="F328" s="5"/>
      <c r="G328" s="5"/>
      <c r="H328" s="5"/>
      <c r="I328" s="73">
        <f>H239</f>
        <v>597.5</v>
      </c>
      <c r="J328" s="73">
        <f>H267</f>
        <v>584.5</v>
      </c>
      <c r="K328" s="5"/>
    </row>
    <row r="329" spans="2:11" x14ac:dyDescent="0.25">
      <c r="B329" s="2" t="s">
        <v>146</v>
      </c>
      <c r="I329" s="29">
        <f>I327-$I$322</f>
        <v>32.769999999999982</v>
      </c>
      <c r="J329" s="29">
        <f>J327-$I$322</f>
        <v>31.720000000000027</v>
      </c>
    </row>
    <row r="330" spans="2:11" ht="18.75" x14ac:dyDescent="0.35">
      <c r="B330" s="2" t="s">
        <v>401</v>
      </c>
      <c r="I330" s="74">
        <f>I325/(H79*H83)</f>
        <v>123.98797975165412</v>
      </c>
      <c r="J330" s="74">
        <f>I330</f>
        <v>123.98797975165412</v>
      </c>
    </row>
    <row r="331" spans="2:11" ht="18.75" x14ac:dyDescent="0.35">
      <c r="B331" s="2" t="s">
        <v>396</v>
      </c>
      <c r="I331" s="29">
        <f>I328-$I$322</f>
        <v>25.5</v>
      </c>
      <c r="J331" s="29">
        <f>J328-$I$322</f>
        <v>12.5</v>
      </c>
    </row>
    <row r="332" spans="2:11" ht="18.75" x14ac:dyDescent="0.25">
      <c r="B332" s="2" t="s">
        <v>397</v>
      </c>
      <c r="I332" s="29">
        <f>I330/POWER(I329,3/2)</f>
        <v>0.66094439140717509</v>
      </c>
      <c r="J332" s="29">
        <f>J330/POWER(J329,3/2)</f>
        <v>0.69403251240257069</v>
      </c>
    </row>
    <row r="333" spans="2:11" x14ac:dyDescent="0.25">
      <c r="B333" s="231" t="s">
        <v>136</v>
      </c>
      <c r="C333" s="231"/>
      <c r="D333" s="231"/>
      <c r="E333" s="5" t="s">
        <v>137</v>
      </c>
      <c r="F333" s="5"/>
      <c r="G333" s="5"/>
      <c r="H333" s="5"/>
      <c r="I333" s="168">
        <v>8.5999999999999993E-2</v>
      </c>
      <c r="J333" s="168">
        <v>9.01E-2</v>
      </c>
      <c r="K333" s="5"/>
    </row>
    <row r="334" spans="2:11" x14ac:dyDescent="0.25">
      <c r="B334" s="231"/>
      <c r="C334" s="231"/>
      <c r="D334" s="231"/>
      <c r="E334" s="5" t="s">
        <v>138</v>
      </c>
      <c r="F334" s="5"/>
      <c r="G334" s="5"/>
      <c r="H334" s="5"/>
      <c r="I334" s="168">
        <v>0.51939999999999997</v>
      </c>
      <c r="J334" s="168">
        <v>0.52939999999999998</v>
      </c>
      <c r="K334" s="5"/>
    </row>
    <row r="335" spans="2:11" ht="18.75" x14ac:dyDescent="0.35">
      <c r="B335" s="232" t="s">
        <v>140</v>
      </c>
      <c r="C335" s="232"/>
      <c r="D335" s="232"/>
      <c r="E335" s="2" t="s">
        <v>398</v>
      </c>
      <c r="I335" s="29">
        <f>I333*I329</f>
        <v>2.8182199999999984</v>
      </c>
      <c r="J335" s="29">
        <f>J333*J329</f>
        <v>2.8579720000000024</v>
      </c>
    </row>
    <row r="336" spans="2:11" ht="18.75" x14ac:dyDescent="0.35">
      <c r="B336" s="232"/>
      <c r="C336" s="232"/>
      <c r="D336" s="232"/>
      <c r="E336" s="2" t="s">
        <v>399</v>
      </c>
      <c r="I336" s="29">
        <f>I334*I329</f>
        <v>17.020737999999991</v>
      </c>
      <c r="J336" s="29">
        <f>J334*J329</f>
        <v>16.792568000000013</v>
      </c>
    </row>
    <row r="337" spans="2:11" ht="18.75" x14ac:dyDescent="0.35">
      <c r="B337" s="2" t="s">
        <v>402</v>
      </c>
      <c r="I337" s="29">
        <f>I331-I336</f>
        <v>8.4792620000000092</v>
      </c>
      <c r="J337" s="29">
        <f>J331-J336</f>
        <v>-4.2925680000000135</v>
      </c>
    </row>
    <row r="338" spans="2:11" x14ac:dyDescent="0.25">
      <c r="B338" s="2" t="s">
        <v>141</v>
      </c>
      <c r="I338" s="22" t="str">
        <f>IF(I337&lt;$H$294,"O.K","NOT O.K")</f>
        <v>O.K</v>
      </c>
      <c r="J338" s="22" t="str">
        <f>IF(J337&lt;$H$294,"O.K","NOT O.K")</f>
        <v>O.K</v>
      </c>
    </row>
    <row r="340" spans="2:11" ht="18.75" x14ac:dyDescent="0.3">
      <c r="B340" s="75" t="s">
        <v>147</v>
      </c>
    </row>
    <row r="341" spans="2:11" x14ac:dyDescent="0.25">
      <c r="B341" s="11" t="s">
        <v>148</v>
      </c>
    </row>
    <row r="342" spans="2:11" x14ac:dyDescent="0.25">
      <c r="B342" s="5" t="s">
        <v>149</v>
      </c>
      <c r="C342" s="5"/>
      <c r="D342" s="5"/>
      <c r="E342" s="5"/>
      <c r="F342" s="5"/>
      <c r="G342" s="5"/>
      <c r="H342" s="5">
        <v>20</v>
      </c>
      <c r="I342" s="5" t="s">
        <v>46</v>
      </c>
      <c r="K342" s="7"/>
    </row>
    <row r="343" spans="2:11" x14ac:dyDescent="0.25">
      <c r="B343" s="2" t="s">
        <v>150</v>
      </c>
      <c r="H343" s="9">
        <f>H4/H41*1.2</f>
        <v>181.33333333333334</v>
      </c>
      <c r="I343" s="2" t="s">
        <v>22</v>
      </c>
      <c r="K343" s="7"/>
    </row>
    <row r="344" spans="2:11" ht="18.75" x14ac:dyDescent="0.25">
      <c r="B344" s="2" t="s">
        <v>403</v>
      </c>
      <c r="H344" s="9">
        <f>0.9*POWER(H343*H343/H49,1/3)</f>
        <v>23.052690458655761</v>
      </c>
      <c r="I344" s="2" t="s">
        <v>5</v>
      </c>
      <c r="K344" s="7"/>
    </row>
    <row r="345" spans="2:11" x14ac:dyDescent="0.25">
      <c r="K345" s="7"/>
    </row>
    <row r="346" spans="2:11" x14ac:dyDescent="0.25">
      <c r="B346" s="11" t="s">
        <v>151</v>
      </c>
      <c r="K346" s="7"/>
    </row>
    <row r="347" spans="2:11" x14ac:dyDescent="0.25">
      <c r="K347" s="7"/>
    </row>
    <row r="348" spans="2:11" x14ac:dyDescent="0.25">
      <c r="B348" s="5" t="s">
        <v>152</v>
      </c>
      <c r="C348" s="5"/>
      <c r="D348" s="5"/>
      <c r="E348" s="5"/>
      <c r="F348" s="5"/>
      <c r="G348" s="5"/>
      <c r="H348" s="5">
        <v>1.75</v>
      </c>
      <c r="I348" s="5"/>
      <c r="K348" s="7"/>
    </row>
    <row r="349" spans="2:11" x14ac:dyDescent="0.25">
      <c r="B349" s="2" t="s">
        <v>153</v>
      </c>
      <c r="H349" s="9">
        <f>H348*H344</f>
        <v>40.342208302647578</v>
      </c>
      <c r="I349" s="2" t="s">
        <v>5</v>
      </c>
      <c r="K349" s="7"/>
    </row>
    <row r="350" spans="2:11" ht="18.75" x14ac:dyDescent="0.35">
      <c r="B350" s="5" t="s">
        <v>404</v>
      </c>
      <c r="C350" s="5"/>
      <c r="D350" s="5"/>
      <c r="E350" s="5"/>
      <c r="F350" s="5"/>
      <c r="G350" s="5"/>
      <c r="H350" s="5">
        <f>H208</f>
        <v>595.5</v>
      </c>
      <c r="I350" s="5" t="s">
        <v>5</v>
      </c>
      <c r="K350" s="7"/>
    </row>
    <row r="351" spans="2:11" x14ac:dyDescent="0.25">
      <c r="B351" s="2" t="s">
        <v>154</v>
      </c>
      <c r="H351" s="9">
        <f>D161</f>
        <v>576.48501943483075</v>
      </c>
      <c r="I351" s="2" t="s">
        <v>5</v>
      </c>
      <c r="K351" s="7"/>
    </row>
    <row r="352" spans="2:11" x14ac:dyDescent="0.25">
      <c r="B352" s="2" t="s">
        <v>155</v>
      </c>
      <c r="H352" s="9">
        <f>H350-H351</f>
        <v>19.014980565169253</v>
      </c>
      <c r="I352" s="2" t="s">
        <v>5</v>
      </c>
      <c r="K352" s="7"/>
    </row>
    <row r="353" spans="2:11" x14ac:dyDescent="0.25">
      <c r="B353" s="2" t="s">
        <v>156</v>
      </c>
      <c r="H353" s="9">
        <v>0.5</v>
      </c>
      <c r="I353" s="2" t="s">
        <v>5</v>
      </c>
      <c r="K353" s="7"/>
    </row>
    <row r="354" spans="2:11" x14ac:dyDescent="0.25">
      <c r="B354" s="2" t="s">
        <v>157</v>
      </c>
      <c r="H354" s="9">
        <f>H353+H352</f>
        <v>19.514980565169253</v>
      </c>
      <c r="I354" s="2" t="s">
        <v>5</v>
      </c>
      <c r="K354" s="7"/>
    </row>
    <row r="355" spans="2:11" x14ac:dyDescent="0.25">
      <c r="B355" s="2" t="s">
        <v>158</v>
      </c>
      <c r="H355" s="9">
        <f>H349-H354</f>
        <v>20.827227737478324</v>
      </c>
      <c r="I355" s="2" t="s">
        <v>5</v>
      </c>
      <c r="K355" s="7"/>
    </row>
    <row r="356" spans="2:11" x14ac:dyDescent="0.25">
      <c r="B356" s="5" t="s">
        <v>159</v>
      </c>
      <c r="C356" s="5"/>
      <c r="D356" s="5"/>
      <c r="E356" s="5"/>
      <c r="F356" s="5"/>
      <c r="G356" s="5"/>
      <c r="H356" s="66" t="s">
        <v>117</v>
      </c>
      <c r="I356" s="62">
        <v>3</v>
      </c>
      <c r="K356" s="7"/>
    </row>
    <row r="357" spans="2:11" ht="18.75" x14ac:dyDescent="0.25">
      <c r="B357" s="2" t="s">
        <v>405</v>
      </c>
      <c r="H357" s="9">
        <f>SQRT(1*1+I356*I356)*H355</f>
        <v>65.861476997466923</v>
      </c>
      <c r="I357" s="2" t="s">
        <v>5</v>
      </c>
    </row>
    <row r="358" spans="2:11" x14ac:dyDescent="0.25">
      <c r="B358" s="2" t="s">
        <v>160</v>
      </c>
    </row>
    <row r="359" spans="2:11" x14ac:dyDescent="0.25">
      <c r="C359" s="60" t="s">
        <v>161</v>
      </c>
      <c r="H359" s="67">
        <f>ROUNDUP(H357*(1.25/1.75),0)</f>
        <v>48</v>
      </c>
      <c r="I359" s="11" t="s">
        <v>5</v>
      </c>
    </row>
    <row r="361" spans="2:11" x14ac:dyDescent="0.25">
      <c r="H361" s="2">
        <f>H350</f>
        <v>595.5</v>
      </c>
    </row>
    <row r="363" spans="2:11" x14ac:dyDescent="0.25">
      <c r="E363" s="9">
        <f>2.5*H355</f>
        <v>52.068069343695811</v>
      </c>
    </row>
    <row r="364" spans="2:11" x14ac:dyDescent="0.25">
      <c r="D364" s="204">
        <f>0.5*H355</f>
        <v>10.413613868739162</v>
      </c>
      <c r="H364" s="9">
        <f>H351</f>
        <v>576.48501943483075</v>
      </c>
    </row>
    <row r="366" spans="2:11" x14ac:dyDescent="0.25">
      <c r="C366" s="9">
        <f>H349</f>
        <v>40.342208302647578</v>
      </c>
    </row>
    <row r="371" spans="2:11" x14ac:dyDescent="0.25">
      <c r="E371" s="9">
        <f>3*H355</f>
        <v>62.481683212434973</v>
      </c>
    </row>
    <row r="375" spans="2:11" x14ac:dyDescent="0.25">
      <c r="B375" s="11" t="s">
        <v>162</v>
      </c>
    </row>
    <row r="376" spans="2:11" x14ac:dyDescent="0.25">
      <c r="K376" s="7"/>
    </row>
    <row r="377" spans="2:11" x14ac:dyDescent="0.25">
      <c r="B377" s="5" t="s">
        <v>163</v>
      </c>
      <c r="C377" s="5"/>
      <c r="D377" s="5"/>
      <c r="E377" s="5"/>
      <c r="F377" s="5"/>
      <c r="G377" s="5"/>
      <c r="H377" s="5">
        <v>1.25</v>
      </c>
      <c r="I377" s="5"/>
      <c r="K377" s="7"/>
    </row>
    <row r="378" spans="2:11" x14ac:dyDescent="0.25">
      <c r="B378" s="2" t="s">
        <v>164</v>
      </c>
      <c r="H378" s="9">
        <f>H377*H344</f>
        <v>28.815863073319701</v>
      </c>
      <c r="I378" s="2" t="s">
        <v>5</v>
      </c>
      <c r="K378" s="7"/>
    </row>
    <row r="379" spans="2:11" ht="18.75" x14ac:dyDescent="0.35">
      <c r="B379" s="5" t="s">
        <v>406</v>
      </c>
      <c r="C379" s="5"/>
      <c r="D379" s="5"/>
      <c r="E379" s="5"/>
      <c r="F379" s="5"/>
      <c r="G379" s="5"/>
      <c r="H379" s="13">
        <f>H209</f>
        <v>602.5</v>
      </c>
      <c r="I379" s="5" t="s">
        <v>5</v>
      </c>
      <c r="K379" s="7"/>
    </row>
    <row r="380" spans="2:11" x14ac:dyDescent="0.25">
      <c r="B380" s="2" t="s">
        <v>165</v>
      </c>
      <c r="H380" s="2">
        <f>H6</f>
        <v>582</v>
      </c>
      <c r="I380" s="2" t="s">
        <v>5</v>
      </c>
      <c r="K380" s="7"/>
    </row>
    <row r="381" spans="2:11" x14ac:dyDescent="0.25">
      <c r="B381" s="2" t="s">
        <v>166</v>
      </c>
      <c r="H381" s="9">
        <f>H379-H380</f>
        <v>20.5</v>
      </c>
      <c r="I381" s="2" t="s">
        <v>5</v>
      </c>
      <c r="K381" s="7"/>
    </row>
    <row r="382" spans="2:11" x14ac:dyDescent="0.25">
      <c r="B382" s="5" t="s">
        <v>156</v>
      </c>
      <c r="C382" s="5"/>
      <c r="D382" s="5"/>
      <c r="E382" s="5"/>
      <c r="F382" s="5"/>
      <c r="G382" s="5"/>
      <c r="H382" s="13">
        <v>0.5</v>
      </c>
      <c r="I382" s="5" t="s">
        <v>5</v>
      </c>
      <c r="K382" s="7"/>
    </row>
    <row r="383" spans="2:11" x14ac:dyDescent="0.25">
      <c r="B383" s="2" t="s">
        <v>167</v>
      </c>
      <c r="H383" s="9">
        <f>H382+H381</f>
        <v>21</v>
      </c>
      <c r="I383" s="2" t="s">
        <v>5</v>
      </c>
      <c r="K383" s="7"/>
    </row>
    <row r="384" spans="2:11" x14ac:dyDescent="0.25">
      <c r="B384" s="2" t="s">
        <v>158</v>
      </c>
      <c r="H384" s="9">
        <f>H378-H383</f>
        <v>7.8158630733197008</v>
      </c>
      <c r="I384" s="2" t="s">
        <v>5</v>
      </c>
      <c r="K384" s="7"/>
    </row>
    <row r="385" spans="2:12" x14ac:dyDescent="0.25">
      <c r="B385" s="5" t="s">
        <v>159</v>
      </c>
      <c r="C385" s="5"/>
      <c r="D385" s="5"/>
      <c r="E385" s="5"/>
      <c r="F385" s="5"/>
      <c r="G385" s="5"/>
      <c r="H385" s="66" t="s">
        <v>117</v>
      </c>
      <c r="I385" s="62">
        <v>3</v>
      </c>
      <c r="K385" s="7"/>
    </row>
    <row r="386" spans="2:12" ht="18.75" x14ac:dyDescent="0.25">
      <c r="B386" s="2" t="s">
        <v>405</v>
      </c>
      <c r="H386" s="9">
        <f>SQRT(1*1+I385*I385)*H384</f>
        <v>24.715929191693863</v>
      </c>
      <c r="I386" s="2" t="s">
        <v>5</v>
      </c>
      <c r="K386" s="7"/>
    </row>
    <row r="387" spans="2:12" x14ac:dyDescent="0.25">
      <c r="B387" s="2" t="s">
        <v>168</v>
      </c>
    </row>
    <row r="388" spans="2:12" x14ac:dyDescent="0.25">
      <c r="C388" s="60" t="s">
        <v>161</v>
      </c>
      <c r="H388" s="67">
        <f>ROUNDUP(H386*1.25/1.75,0)</f>
        <v>18</v>
      </c>
      <c r="I388" s="11" t="s">
        <v>5</v>
      </c>
    </row>
    <row r="390" spans="2:12" x14ac:dyDescent="0.25">
      <c r="B390" s="11" t="s">
        <v>169</v>
      </c>
    </row>
    <row r="392" spans="2:12" x14ac:dyDescent="0.25">
      <c r="B392" s="5" t="s">
        <v>149</v>
      </c>
      <c r="C392" s="5"/>
      <c r="D392" s="5"/>
      <c r="E392" s="5"/>
      <c r="F392" s="5"/>
      <c r="G392" s="5"/>
      <c r="H392" s="5">
        <v>20</v>
      </c>
      <c r="I392" s="5" t="s">
        <v>46</v>
      </c>
      <c r="K392" s="7"/>
    </row>
    <row r="393" spans="2:12" ht="18.75" x14ac:dyDescent="0.35">
      <c r="B393" s="2" t="s">
        <v>407</v>
      </c>
      <c r="H393" s="8">
        <f>H97*1.2/(H83)</f>
        <v>247.97595950330825</v>
      </c>
      <c r="I393" s="2" t="s">
        <v>22</v>
      </c>
    </row>
    <row r="394" spans="2:12" ht="18.75" x14ac:dyDescent="0.25">
      <c r="B394" s="2" t="s">
        <v>403</v>
      </c>
      <c r="H394" s="9">
        <f>0.9*POWER(H393*H393/H49,1/3)</f>
        <v>28.401606653608795</v>
      </c>
      <c r="I394" s="2" t="s">
        <v>5</v>
      </c>
    </row>
    <row r="396" spans="2:12" x14ac:dyDescent="0.25">
      <c r="B396" s="11" t="s">
        <v>170</v>
      </c>
    </row>
    <row r="398" spans="2:12" x14ac:dyDescent="0.25">
      <c r="B398" s="5" t="s">
        <v>152</v>
      </c>
      <c r="C398" s="5"/>
      <c r="D398" s="5"/>
      <c r="E398" s="5"/>
      <c r="F398" s="5"/>
      <c r="G398" s="5"/>
      <c r="H398" s="5">
        <v>1.75</v>
      </c>
      <c r="I398" s="5"/>
      <c r="K398" s="7"/>
      <c r="L398" s="7"/>
    </row>
    <row r="399" spans="2:12" x14ac:dyDescent="0.25">
      <c r="B399" s="2" t="s">
        <v>153</v>
      </c>
      <c r="H399" s="9">
        <f>H398*H394</f>
        <v>49.702811643815394</v>
      </c>
      <c r="I399" s="2" t="s">
        <v>5</v>
      </c>
      <c r="K399" s="7"/>
      <c r="L399" s="7"/>
    </row>
    <row r="400" spans="2:12" ht="18.75" x14ac:dyDescent="0.35">
      <c r="B400" s="5" t="s">
        <v>408</v>
      </c>
      <c r="C400" s="5"/>
      <c r="D400" s="5"/>
      <c r="E400" s="5"/>
      <c r="F400" s="5"/>
      <c r="G400" s="5"/>
      <c r="H400" s="5">
        <v>584.5</v>
      </c>
      <c r="I400" s="5" t="s">
        <v>5</v>
      </c>
      <c r="K400" s="7"/>
      <c r="L400" s="7"/>
    </row>
    <row r="401" spans="2:12" x14ac:dyDescent="0.25">
      <c r="B401" s="2" t="s">
        <v>154</v>
      </c>
      <c r="H401" s="9">
        <f>E175</f>
        <v>572</v>
      </c>
      <c r="I401" s="2" t="s">
        <v>5</v>
      </c>
      <c r="K401" s="7"/>
      <c r="L401" s="7"/>
    </row>
    <row r="402" spans="2:12" x14ac:dyDescent="0.25">
      <c r="B402" s="2" t="s">
        <v>155</v>
      </c>
      <c r="H402" s="9">
        <f>H400-H401</f>
        <v>12.5</v>
      </c>
      <c r="I402" s="2" t="s">
        <v>5</v>
      </c>
      <c r="K402" s="7"/>
      <c r="L402" s="7"/>
    </row>
    <row r="403" spans="2:12" x14ac:dyDescent="0.25">
      <c r="B403" s="5" t="s">
        <v>156</v>
      </c>
      <c r="C403" s="5"/>
      <c r="D403" s="5"/>
      <c r="E403" s="5"/>
      <c r="F403" s="5"/>
      <c r="G403" s="5"/>
      <c r="H403" s="5">
        <v>0.5</v>
      </c>
      <c r="I403" s="5" t="s">
        <v>5</v>
      </c>
      <c r="K403" s="7"/>
      <c r="L403" s="7"/>
    </row>
    <row r="404" spans="2:12" x14ac:dyDescent="0.25">
      <c r="B404" s="2" t="s">
        <v>157</v>
      </c>
      <c r="H404" s="9">
        <f>H403+H402</f>
        <v>13</v>
      </c>
      <c r="I404" s="2" t="s">
        <v>5</v>
      </c>
      <c r="K404" s="7"/>
      <c r="L404" s="7"/>
    </row>
    <row r="405" spans="2:12" x14ac:dyDescent="0.25">
      <c r="B405" s="2" t="s">
        <v>158</v>
      </c>
      <c r="H405" s="9">
        <f>H399-H404</f>
        <v>36.702811643815394</v>
      </c>
      <c r="I405" s="2" t="s">
        <v>5</v>
      </c>
      <c r="K405" s="7"/>
      <c r="L405" s="7"/>
    </row>
    <row r="406" spans="2:12" x14ac:dyDescent="0.25">
      <c r="B406" s="5" t="s">
        <v>159</v>
      </c>
      <c r="C406" s="5"/>
      <c r="D406" s="5"/>
      <c r="E406" s="5"/>
      <c r="F406" s="5"/>
      <c r="G406" s="5"/>
      <c r="H406" s="66" t="s">
        <v>117</v>
      </c>
      <c r="I406" s="62">
        <v>3</v>
      </c>
      <c r="K406" s="7"/>
      <c r="L406" s="7"/>
    </row>
    <row r="407" spans="2:12" ht="18.75" x14ac:dyDescent="0.25">
      <c r="B407" s="2" t="s">
        <v>405</v>
      </c>
      <c r="H407" s="9">
        <f>SQRT(1*1+I406*I406)*H405</f>
        <v>116.0644813266053</v>
      </c>
      <c r="I407" s="2" t="s">
        <v>5</v>
      </c>
      <c r="K407" s="7"/>
      <c r="L407" s="7"/>
    </row>
    <row r="408" spans="2:12" x14ac:dyDescent="0.25">
      <c r="B408" s="2" t="s">
        <v>160</v>
      </c>
      <c r="K408" s="7"/>
      <c r="L408" s="7"/>
    </row>
    <row r="409" spans="2:12" x14ac:dyDescent="0.25">
      <c r="C409" s="60" t="s">
        <v>161</v>
      </c>
      <c r="H409" s="11">
        <f>ROUNDUP(H407*1.25/1.75,0)</f>
        <v>83</v>
      </c>
      <c r="I409" s="11" t="s">
        <v>5</v>
      </c>
      <c r="K409" s="7"/>
      <c r="L409" s="7"/>
    </row>
    <row r="410" spans="2:12" x14ac:dyDescent="0.25">
      <c r="K410" s="7"/>
      <c r="L410" s="7"/>
    </row>
    <row r="411" spans="2:12" x14ac:dyDescent="0.25">
      <c r="B411" s="11" t="s">
        <v>171</v>
      </c>
      <c r="K411" s="7"/>
      <c r="L411" s="7"/>
    </row>
    <row r="412" spans="2:12" x14ac:dyDescent="0.25">
      <c r="K412" s="7"/>
      <c r="L412" s="7"/>
    </row>
    <row r="413" spans="2:12" x14ac:dyDescent="0.25">
      <c r="B413" s="5" t="s">
        <v>163</v>
      </c>
      <c r="C413" s="5"/>
      <c r="D413" s="5"/>
      <c r="E413" s="5"/>
      <c r="F413" s="5"/>
      <c r="G413" s="5"/>
      <c r="H413" s="5">
        <v>1.25</v>
      </c>
      <c r="I413" s="5"/>
      <c r="K413" s="7"/>
      <c r="L413" s="7"/>
    </row>
    <row r="414" spans="2:12" x14ac:dyDescent="0.25">
      <c r="B414" s="2" t="s">
        <v>164</v>
      </c>
      <c r="H414" s="9">
        <f>H413*H394</f>
        <v>35.50200831701099</v>
      </c>
      <c r="I414" s="2" t="s">
        <v>5</v>
      </c>
      <c r="K414" s="7"/>
      <c r="L414" s="7"/>
    </row>
    <row r="415" spans="2:12" ht="18.75" x14ac:dyDescent="0.35">
      <c r="B415" s="5" t="s">
        <v>409</v>
      </c>
      <c r="C415" s="5"/>
      <c r="D415" s="5"/>
      <c r="E415" s="5"/>
      <c r="F415" s="5"/>
      <c r="G415" s="5"/>
      <c r="H415" s="5">
        <v>590.5</v>
      </c>
      <c r="I415" s="5" t="s">
        <v>5</v>
      </c>
      <c r="K415" s="7"/>
      <c r="L415" s="7"/>
    </row>
    <row r="416" spans="2:12" x14ac:dyDescent="0.25">
      <c r="B416" s="2" t="s">
        <v>165</v>
      </c>
      <c r="H416" s="2">
        <f>H6</f>
        <v>582</v>
      </c>
      <c r="I416" s="2" t="s">
        <v>5</v>
      </c>
      <c r="K416" s="7"/>
      <c r="L416" s="7"/>
    </row>
    <row r="417" spans="2:12" x14ac:dyDescent="0.25">
      <c r="B417" s="2" t="s">
        <v>166</v>
      </c>
      <c r="H417" s="2">
        <f>H415-H416</f>
        <v>8.5</v>
      </c>
      <c r="I417" s="2" t="s">
        <v>5</v>
      </c>
      <c r="K417" s="7"/>
      <c r="L417" s="7"/>
    </row>
    <row r="418" spans="2:12" x14ac:dyDescent="0.25">
      <c r="B418" s="5" t="s">
        <v>156</v>
      </c>
      <c r="C418" s="5"/>
      <c r="D418" s="5"/>
      <c r="E418" s="5"/>
      <c r="F418" s="5"/>
      <c r="G418" s="5"/>
      <c r="H418" s="5">
        <v>0.5</v>
      </c>
      <c r="I418" s="5" t="s">
        <v>5</v>
      </c>
      <c r="K418" s="7"/>
      <c r="L418" s="7"/>
    </row>
    <row r="419" spans="2:12" x14ac:dyDescent="0.25">
      <c r="B419" s="2" t="s">
        <v>167</v>
      </c>
      <c r="H419" s="2">
        <f>H418+H417</f>
        <v>9</v>
      </c>
      <c r="I419" s="2" t="s">
        <v>5</v>
      </c>
      <c r="K419" s="7"/>
      <c r="L419" s="7"/>
    </row>
    <row r="420" spans="2:12" x14ac:dyDescent="0.25">
      <c r="B420" s="2" t="s">
        <v>158</v>
      </c>
      <c r="H420" s="9">
        <f>H414-H419</f>
        <v>26.50200831701099</v>
      </c>
      <c r="I420" s="2" t="s">
        <v>5</v>
      </c>
      <c r="K420" s="7"/>
      <c r="L420" s="7"/>
    </row>
    <row r="421" spans="2:12" x14ac:dyDescent="0.25">
      <c r="B421" s="5" t="s">
        <v>159</v>
      </c>
      <c r="C421" s="5"/>
      <c r="D421" s="5"/>
      <c r="E421" s="5"/>
      <c r="F421" s="5"/>
      <c r="G421" s="5"/>
      <c r="H421" s="66" t="s">
        <v>117</v>
      </c>
      <c r="I421" s="62">
        <v>3</v>
      </c>
      <c r="K421" s="7"/>
      <c r="L421" s="7"/>
    </row>
    <row r="422" spans="2:12" ht="18.75" x14ac:dyDescent="0.25">
      <c r="B422" s="2" t="s">
        <v>405</v>
      </c>
      <c r="H422" s="9">
        <f>SQRT(1*1+I421*I421)*H420</f>
        <v>83.806708850480447</v>
      </c>
      <c r="I422" s="2" t="s">
        <v>5</v>
      </c>
      <c r="K422" s="7"/>
      <c r="L422" s="7"/>
    </row>
    <row r="423" spans="2:12" x14ac:dyDescent="0.25">
      <c r="B423" s="2" t="s">
        <v>168</v>
      </c>
    </row>
    <row r="424" spans="2:12" x14ac:dyDescent="0.25">
      <c r="C424" s="60" t="s">
        <v>161</v>
      </c>
      <c r="H424" s="11">
        <f>ROUNDUP(H422*1.25/1.75,0)</f>
        <v>60</v>
      </c>
      <c r="I424" s="11" t="s">
        <v>5</v>
      </c>
    </row>
    <row r="426" spans="2:12" x14ac:dyDescent="0.25">
      <c r="B426" s="11" t="s">
        <v>172</v>
      </c>
    </row>
    <row r="428" spans="2:12" x14ac:dyDescent="0.25">
      <c r="B428" s="2" t="s">
        <v>492</v>
      </c>
    </row>
    <row r="429" spans="2:12" x14ac:dyDescent="0.25">
      <c r="B429" s="2" t="s">
        <v>173</v>
      </c>
    </row>
    <row r="431" spans="2:12" x14ac:dyDescent="0.25">
      <c r="B431" s="229" t="s">
        <v>174</v>
      </c>
      <c r="C431" s="229"/>
      <c r="D431" s="162">
        <v>3</v>
      </c>
      <c r="E431" s="162">
        <v>9</v>
      </c>
      <c r="F431" s="162">
        <v>12</v>
      </c>
      <c r="G431" s="162">
        <v>18</v>
      </c>
      <c r="H431" s="162">
        <v>24</v>
      </c>
    </row>
    <row r="432" spans="2:12" x14ac:dyDescent="0.25">
      <c r="B432" s="229" t="s">
        <v>175</v>
      </c>
      <c r="C432" s="229"/>
      <c r="D432" s="229" t="s">
        <v>176</v>
      </c>
      <c r="E432" s="229"/>
      <c r="F432" s="229"/>
      <c r="G432" s="229"/>
      <c r="H432" s="229"/>
    </row>
    <row r="433" spans="2:10" x14ac:dyDescent="0.25">
      <c r="B433" s="229" t="s">
        <v>177</v>
      </c>
      <c r="C433" s="229"/>
      <c r="D433" s="162">
        <v>16</v>
      </c>
      <c r="E433" s="162">
        <v>19</v>
      </c>
      <c r="F433" s="162">
        <v>22</v>
      </c>
      <c r="G433" s="162">
        <v>25</v>
      </c>
      <c r="H433" s="162">
        <v>28</v>
      </c>
    </row>
    <row r="434" spans="2:10" x14ac:dyDescent="0.25">
      <c r="B434" s="229" t="s">
        <v>178</v>
      </c>
      <c r="C434" s="229"/>
      <c r="D434" s="162">
        <v>22</v>
      </c>
      <c r="E434" s="162">
        <v>25</v>
      </c>
      <c r="F434" s="162">
        <v>28</v>
      </c>
      <c r="G434" s="162">
        <v>31</v>
      </c>
      <c r="H434" s="162">
        <v>34</v>
      </c>
    </row>
    <row r="435" spans="2:10" x14ac:dyDescent="0.25">
      <c r="B435" s="229" t="s">
        <v>179</v>
      </c>
      <c r="C435" s="229"/>
      <c r="D435" s="162">
        <v>28</v>
      </c>
      <c r="E435" s="162">
        <v>31</v>
      </c>
      <c r="F435" s="162">
        <v>34</v>
      </c>
      <c r="G435" s="162">
        <v>37</v>
      </c>
      <c r="H435" s="162">
        <v>40</v>
      </c>
    </row>
    <row r="436" spans="2:10" x14ac:dyDescent="0.25">
      <c r="B436" s="229" t="s">
        <v>180</v>
      </c>
      <c r="C436" s="229"/>
      <c r="D436" s="162">
        <v>34</v>
      </c>
      <c r="E436" s="162">
        <v>37</v>
      </c>
      <c r="F436" s="162">
        <v>40</v>
      </c>
      <c r="G436" s="162">
        <v>43</v>
      </c>
      <c r="H436" s="162">
        <v>46</v>
      </c>
    </row>
    <row r="437" spans="2:10" x14ac:dyDescent="0.25">
      <c r="B437" s="229" t="s">
        <v>181</v>
      </c>
      <c r="C437" s="229"/>
      <c r="D437" s="162">
        <v>40</v>
      </c>
      <c r="E437" s="162">
        <v>43</v>
      </c>
      <c r="F437" s="162">
        <v>45</v>
      </c>
      <c r="G437" s="162">
        <v>49</v>
      </c>
      <c r="H437" s="162">
        <v>52</v>
      </c>
    </row>
    <row r="440" spans="2:10" x14ac:dyDescent="0.25">
      <c r="B440" s="5" t="s">
        <v>182</v>
      </c>
      <c r="C440" s="5"/>
      <c r="D440" s="5"/>
      <c r="E440" s="5"/>
      <c r="F440" s="5"/>
      <c r="G440" s="5"/>
      <c r="H440" s="5" t="s">
        <v>183</v>
      </c>
      <c r="I440" s="5"/>
      <c r="J440" s="5"/>
    </row>
    <row r="441" spans="2:10" x14ac:dyDescent="0.25">
      <c r="B441" s="5" t="s">
        <v>9</v>
      </c>
      <c r="C441" s="5"/>
      <c r="D441" s="5"/>
      <c r="E441" s="5"/>
      <c r="F441" s="5"/>
      <c r="G441" s="5"/>
      <c r="H441" s="5">
        <v>12</v>
      </c>
      <c r="I441" s="5" t="s">
        <v>184</v>
      </c>
      <c r="J441" s="5"/>
    </row>
    <row r="442" spans="2:10" x14ac:dyDescent="0.25">
      <c r="B442" s="5" t="s">
        <v>510</v>
      </c>
      <c r="C442" s="5"/>
      <c r="D442" s="5"/>
      <c r="E442" s="5"/>
      <c r="F442" s="5"/>
      <c r="G442" s="5"/>
      <c r="H442" s="5">
        <v>34</v>
      </c>
      <c r="I442" s="5" t="s">
        <v>185</v>
      </c>
      <c r="J442" s="5"/>
    </row>
    <row r="443" spans="2:10" x14ac:dyDescent="0.25">
      <c r="B443" s="2" t="s">
        <v>186</v>
      </c>
      <c r="H443" s="7">
        <f>ROUNDUP(1.75*H442/H441,0)</f>
        <v>5</v>
      </c>
      <c r="I443" s="2" t="s">
        <v>5</v>
      </c>
    </row>
    <row r="444" spans="2:10" x14ac:dyDescent="0.25">
      <c r="B444" s="2" t="s">
        <v>187</v>
      </c>
      <c r="H444" s="2">
        <v>4</v>
      </c>
      <c r="I444" s="2" t="s">
        <v>188</v>
      </c>
    </row>
    <row r="445" spans="2:10" x14ac:dyDescent="0.25">
      <c r="B445" s="4" t="s">
        <v>189</v>
      </c>
    </row>
    <row r="446" spans="2:10" x14ac:dyDescent="0.25">
      <c r="C446" s="2" t="s">
        <v>190</v>
      </c>
      <c r="H446" s="8">
        <f>H359</f>
        <v>48</v>
      </c>
      <c r="I446" s="2" t="s">
        <v>5</v>
      </c>
    </row>
    <row r="447" spans="2:10" x14ac:dyDescent="0.25">
      <c r="B447" s="2">
        <f>H444</f>
        <v>4</v>
      </c>
      <c r="C447" s="2" t="s">
        <v>191</v>
      </c>
      <c r="H447" s="2">
        <f>ROUNDDOWN(1/3*H446,0)</f>
        <v>16</v>
      </c>
      <c r="I447" s="2" t="s">
        <v>192</v>
      </c>
    </row>
    <row r="448" spans="2:10" x14ac:dyDescent="0.25">
      <c r="B448" s="2">
        <f>H443</f>
        <v>5</v>
      </c>
      <c r="C448" s="2" t="s">
        <v>193</v>
      </c>
      <c r="H448" s="8">
        <f>H446-H447</f>
        <v>32</v>
      </c>
      <c r="I448" s="2" t="s">
        <v>5</v>
      </c>
    </row>
    <row r="450" spans="2:9" x14ac:dyDescent="0.25">
      <c r="C450" s="2" t="s">
        <v>194</v>
      </c>
      <c r="H450" s="8">
        <f>H388</f>
        <v>18</v>
      </c>
      <c r="I450" s="2" t="s">
        <v>5</v>
      </c>
    </row>
    <row r="451" spans="2:9" x14ac:dyDescent="0.25">
      <c r="B451" s="2">
        <f>H444</f>
        <v>4</v>
      </c>
      <c r="C451" s="2" t="s">
        <v>191</v>
      </c>
      <c r="H451" s="2">
        <f>ROUNDDOWN(1/3*H450,0)</f>
        <v>6</v>
      </c>
      <c r="I451" s="2" t="s">
        <v>192</v>
      </c>
    </row>
    <row r="452" spans="2:9" x14ac:dyDescent="0.25">
      <c r="B452" s="2">
        <f>H443</f>
        <v>5</v>
      </c>
      <c r="C452" s="2" t="s">
        <v>193</v>
      </c>
      <c r="H452" s="8">
        <f>H450-H451</f>
        <v>12</v>
      </c>
      <c r="I452" s="2" t="s">
        <v>5</v>
      </c>
    </row>
    <row r="454" spans="2:9" ht="18.75" x14ac:dyDescent="0.3">
      <c r="B454" s="75" t="s">
        <v>195</v>
      </c>
    </row>
    <row r="456" spans="2:9" x14ac:dyDescent="0.25">
      <c r="B456" s="2" t="s">
        <v>196</v>
      </c>
      <c r="H456" s="2">
        <v>4</v>
      </c>
      <c r="I456" s="2" t="s">
        <v>188</v>
      </c>
    </row>
    <row r="457" spans="2:9" x14ac:dyDescent="0.25">
      <c r="B457" s="2" t="s">
        <v>197</v>
      </c>
      <c r="H457" s="2">
        <v>9</v>
      </c>
      <c r="I457" s="2" t="s">
        <v>185</v>
      </c>
    </row>
    <row r="458" spans="2:9" x14ac:dyDescent="0.25">
      <c r="B458" s="2" t="s">
        <v>198</v>
      </c>
      <c r="H458" s="2">
        <v>9</v>
      </c>
      <c r="I458" s="2" t="s">
        <v>185</v>
      </c>
    </row>
    <row r="459" spans="2:9" x14ac:dyDescent="0.25">
      <c r="B459" s="2" t="s">
        <v>199</v>
      </c>
      <c r="H459" s="2">
        <v>6</v>
      </c>
      <c r="I459" s="2" t="s">
        <v>185</v>
      </c>
    </row>
    <row r="460" spans="2:9" x14ac:dyDescent="0.25">
      <c r="B460" s="2" t="s">
        <v>200</v>
      </c>
      <c r="H460" s="2">
        <v>2</v>
      </c>
      <c r="I460" s="2" t="s">
        <v>185</v>
      </c>
    </row>
    <row r="480" spans="2:4" ht="18.75" x14ac:dyDescent="0.3">
      <c r="B480" s="76" t="s">
        <v>201</v>
      </c>
      <c r="C480" s="76"/>
      <c r="D480" s="76"/>
    </row>
    <row r="482" spans="1:10" x14ac:dyDescent="0.25">
      <c r="A482" s="77" t="s">
        <v>202</v>
      </c>
      <c r="B482" s="2" t="s">
        <v>504</v>
      </c>
    </row>
    <row r="483" spans="1:10" ht="18.75" x14ac:dyDescent="0.35">
      <c r="A483" s="77"/>
      <c r="B483" s="2" t="s">
        <v>410</v>
      </c>
      <c r="H483" s="8">
        <f>ROUNDUP(1.5*H43,0)</f>
        <v>5078</v>
      </c>
      <c r="I483" s="2" t="s">
        <v>5</v>
      </c>
    </row>
    <row r="484" spans="1:10" ht="18.75" x14ac:dyDescent="0.35">
      <c r="A484" s="77" t="s">
        <v>203</v>
      </c>
      <c r="B484" s="2" t="s">
        <v>505</v>
      </c>
      <c r="H484" s="2">
        <f>0.2*H43</f>
        <v>677</v>
      </c>
      <c r="I484" s="2" t="s">
        <v>5</v>
      </c>
    </row>
    <row r="485" spans="1:10" x14ac:dyDescent="0.25">
      <c r="A485" s="77" t="s">
        <v>204</v>
      </c>
      <c r="B485" s="2" t="s">
        <v>205</v>
      </c>
    </row>
    <row r="486" spans="1:10" x14ac:dyDescent="0.25">
      <c r="A486" s="77"/>
      <c r="B486" s="2" t="s">
        <v>206</v>
      </c>
      <c r="H486" s="9">
        <f>1.75*H344</f>
        <v>40.342208302647578</v>
      </c>
      <c r="I486" s="2" t="s">
        <v>5</v>
      </c>
    </row>
    <row r="487" spans="1:10" x14ac:dyDescent="0.25">
      <c r="A487" s="77" t="s">
        <v>207</v>
      </c>
      <c r="B487" s="2" t="s">
        <v>208</v>
      </c>
      <c r="H487" s="9">
        <f>1.25*H344</f>
        <v>28.815863073319701</v>
      </c>
      <c r="I487" s="2" t="s">
        <v>5</v>
      </c>
    </row>
    <row r="488" spans="1:10" x14ac:dyDescent="0.25">
      <c r="A488" s="78" t="s">
        <v>209</v>
      </c>
      <c r="B488" s="5" t="s">
        <v>210</v>
      </c>
      <c r="C488" s="5"/>
      <c r="D488" s="5"/>
      <c r="E488" s="5"/>
      <c r="F488" s="5"/>
      <c r="G488" s="5"/>
      <c r="H488" s="66" t="s">
        <v>117</v>
      </c>
      <c r="I488" s="62">
        <v>3</v>
      </c>
      <c r="J488" s="5"/>
    </row>
    <row r="489" spans="1:10" x14ac:dyDescent="0.25">
      <c r="A489" s="78" t="s">
        <v>211</v>
      </c>
      <c r="B489" s="5" t="s">
        <v>212</v>
      </c>
      <c r="C489" s="5"/>
      <c r="D489" s="5"/>
      <c r="E489" s="5"/>
      <c r="F489" s="5"/>
      <c r="G489" s="5"/>
      <c r="H489" s="5">
        <v>7</v>
      </c>
      <c r="I489" s="5" t="s">
        <v>213</v>
      </c>
      <c r="J489" s="5"/>
    </row>
    <row r="490" spans="1:10" x14ac:dyDescent="0.25">
      <c r="A490" s="78"/>
      <c r="B490" s="5" t="s">
        <v>214</v>
      </c>
      <c r="C490" s="5"/>
      <c r="D490" s="5"/>
      <c r="E490" s="5"/>
      <c r="F490" s="5"/>
      <c r="G490" s="5"/>
      <c r="H490" s="5">
        <v>6</v>
      </c>
      <c r="I490" s="5" t="s">
        <v>213</v>
      </c>
      <c r="J490" s="5"/>
    </row>
    <row r="491" spans="1:10" x14ac:dyDescent="0.25">
      <c r="A491" s="78"/>
      <c r="B491" s="15" t="s">
        <v>215</v>
      </c>
    </row>
    <row r="492" spans="1:10" x14ac:dyDescent="0.25">
      <c r="A492" s="78" t="s">
        <v>216</v>
      </c>
      <c r="B492" s="5" t="s">
        <v>217</v>
      </c>
      <c r="C492" s="5"/>
      <c r="D492" s="5"/>
      <c r="E492" s="5"/>
      <c r="F492" s="5"/>
      <c r="G492" s="5"/>
      <c r="H492" s="5">
        <v>40</v>
      </c>
      <c r="I492" s="5" t="s">
        <v>5</v>
      </c>
      <c r="J492" s="7"/>
    </row>
    <row r="493" spans="1:10" x14ac:dyDescent="0.25">
      <c r="A493" s="78" t="s">
        <v>218</v>
      </c>
      <c r="B493" s="5" t="s">
        <v>219</v>
      </c>
      <c r="C493" s="5"/>
      <c r="D493" s="5"/>
      <c r="E493" s="5"/>
      <c r="F493" s="5"/>
      <c r="G493" s="5"/>
      <c r="H493" s="66" t="s">
        <v>117</v>
      </c>
      <c r="I493" s="62">
        <v>2</v>
      </c>
      <c r="J493" s="7"/>
    </row>
    <row r="494" spans="1:10" x14ac:dyDescent="0.25">
      <c r="A494" s="77" t="s">
        <v>220</v>
      </c>
      <c r="B494" s="2" t="s">
        <v>221</v>
      </c>
      <c r="H494" s="2">
        <v>4</v>
      </c>
      <c r="I494" s="2" t="s">
        <v>5</v>
      </c>
    </row>
    <row r="496" spans="1:10" x14ac:dyDescent="0.25">
      <c r="B496" s="2" t="s">
        <v>222</v>
      </c>
      <c r="H496" s="2">
        <f>H43</f>
        <v>3385</v>
      </c>
      <c r="I496" s="2" t="s">
        <v>5</v>
      </c>
    </row>
    <row r="497" spans="2:9" x14ac:dyDescent="0.25">
      <c r="B497" s="2" t="s">
        <v>223</v>
      </c>
      <c r="H497" s="8">
        <f>H483</f>
        <v>5078</v>
      </c>
      <c r="I497" s="2" t="s">
        <v>5</v>
      </c>
    </row>
    <row r="498" spans="2:9" x14ac:dyDescent="0.25">
      <c r="B498" s="2" t="s">
        <v>224</v>
      </c>
      <c r="H498" s="2">
        <f>H484</f>
        <v>677</v>
      </c>
      <c r="I498" s="2" t="s">
        <v>5</v>
      </c>
    </row>
    <row r="499" spans="2:9" x14ac:dyDescent="0.25">
      <c r="B499" s="5" t="s">
        <v>225</v>
      </c>
      <c r="C499" s="5"/>
      <c r="D499" s="5"/>
      <c r="E499" s="5"/>
      <c r="F499" s="5"/>
      <c r="G499" s="5"/>
      <c r="H499" s="5">
        <v>600</v>
      </c>
      <c r="I499" s="5" t="s">
        <v>5</v>
      </c>
    </row>
    <row r="500" spans="2:9" x14ac:dyDescent="0.25">
      <c r="B500" s="5" t="s">
        <v>226</v>
      </c>
      <c r="C500" s="5"/>
      <c r="D500" s="5"/>
      <c r="E500" s="5"/>
      <c r="F500" s="5"/>
      <c r="G500" s="5"/>
      <c r="H500" s="5">
        <v>400</v>
      </c>
      <c r="I500" s="5" t="s">
        <v>5</v>
      </c>
    </row>
    <row r="501" spans="2:9" ht="18.75" x14ac:dyDescent="0.25">
      <c r="B501" s="5" t="s">
        <v>227</v>
      </c>
      <c r="C501" s="5"/>
      <c r="D501" s="5"/>
      <c r="E501" s="5"/>
      <c r="F501" s="5"/>
      <c r="G501" s="5"/>
      <c r="H501" s="79" t="s">
        <v>411</v>
      </c>
      <c r="I501" s="5"/>
    </row>
    <row r="502" spans="2:9" ht="18.75" x14ac:dyDescent="0.25">
      <c r="B502" s="5" t="s">
        <v>228</v>
      </c>
      <c r="C502" s="5"/>
      <c r="D502" s="5"/>
      <c r="E502" s="5"/>
      <c r="F502" s="5"/>
      <c r="G502" s="5"/>
      <c r="H502" s="79" t="s">
        <v>412</v>
      </c>
      <c r="I502" s="5"/>
    </row>
    <row r="505" spans="2:9" x14ac:dyDescent="0.25">
      <c r="B505" s="11" t="s">
        <v>229</v>
      </c>
    </row>
    <row r="506" spans="2:9" x14ac:dyDescent="0.25">
      <c r="B506" s="2" t="s">
        <v>230</v>
      </c>
    </row>
    <row r="507" spans="2:9" x14ac:dyDescent="0.25">
      <c r="F507" s="80"/>
    </row>
    <row r="508" spans="2:9" x14ac:dyDescent="0.25">
      <c r="B508" s="80"/>
    </row>
    <row r="509" spans="2:9" x14ac:dyDescent="0.25">
      <c r="B509" s="81" t="s">
        <v>231</v>
      </c>
    </row>
    <row r="515" spans="2:10" x14ac:dyDescent="0.25">
      <c r="C515" s="16">
        <f>H528</f>
        <v>22</v>
      </c>
      <c r="E515" s="2">
        <f>H529</f>
        <v>21.8</v>
      </c>
      <c r="H515" s="86">
        <f>H526</f>
        <v>20</v>
      </c>
    </row>
    <row r="519" spans="2:10" x14ac:dyDescent="0.25">
      <c r="D519" s="8">
        <f>H534</f>
        <v>4816.6363975155236</v>
      </c>
    </row>
    <row r="522" spans="2:10" x14ac:dyDescent="0.25">
      <c r="B522" s="5" t="s">
        <v>232</v>
      </c>
      <c r="C522" s="5"/>
      <c r="D522" s="5"/>
      <c r="E522" s="5"/>
      <c r="F522" s="5"/>
      <c r="G522" s="5"/>
      <c r="H522" s="5">
        <v>71</v>
      </c>
      <c r="I522" s="5" t="s">
        <v>233</v>
      </c>
      <c r="J522" s="5"/>
    </row>
    <row r="523" spans="2:10" x14ac:dyDescent="0.25">
      <c r="B523" s="5" t="s">
        <v>234</v>
      </c>
      <c r="C523" s="5"/>
      <c r="D523" s="5"/>
      <c r="E523" s="5"/>
      <c r="F523" s="5"/>
      <c r="G523" s="5"/>
      <c r="H523" s="82" t="s">
        <v>235</v>
      </c>
      <c r="I523" s="205">
        <v>5000</v>
      </c>
      <c r="J523" s="5"/>
    </row>
    <row r="524" spans="2:10" x14ac:dyDescent="0.25">
      <c r="B524" s="2" t="s">
        <v>103</v>
      </c>
      <c r="H524" s="2">
        <f>H6</f>
        <v>582</v>
      </c>
      <c r="I524" s="2" t="s">
        <v>5</v>
      </c>
    </row>
    <row r="525" spans="2:10" x14ac:dyDescent="0.25">
      <c r="B525" s="2" t="s">
        <v>236</v>
      </c>
      <c r="H525" s="2">
        <f>C122</f>
        <v>602</v>
      </c>
      <c r="I525" s="2" t="s">
        <v>5</v>
      </c>
    </row>
    <row r="526" spans="2:10" x14ac:dyDescent="0.25">
      <c r="B526" s="2" t="s">
        <v>237</v>
      </c>
      <c r="H526" s="2">
        <f>H525-H524</f>
        <v>20</v>
      </c>
      <c r="I526" s="2" t="s">
        <v>5</v>
      </c>
    </row>
    <row r="527" spans="2:10" x14ac:dyDescent="0.25">
      <c r="B527" s="2" t="s">
        <v>238</v>
      </c>
      <c r="H527" s="16">
        <f>E122</f>
        <v>604</v>
      </c>
      <c r="I527" s="2" t="s">
        <v>5</v>
      </c>
    </row>
    <row r="528" spans="2:10" ht="18.75" x14ac:dyDescent="0.35">
      <c r="B528" s="2" t="s">
        <v>413</v>
      </c>
      <c r="H528" s="16">
        <f>H527-H524</f>
        <v>22</v>
      </c>
      <c r="I528" s="2" t="s">
        <v>5</v>
      </c>
    </row>
    <row r="529" spans="1:9" ht="18.75" x14ac:dyDescent="0.35">
      <c r="B529" s="5" t="s">
        <v>414</v>
      </c>
      <c r="C529" s="5"/>
      <c r="D529" s="5"/>
      <c r="E529" s="5"/>
      <c r="F529" s="5"/>
      <c r="G529" s="5"/>
      <c r="H529" s="5">
        <v>21.8</v>
      </c>
      <c r="I529" s="5" t="s">
        <v>5</v>
      </c>
    </row>
    <row r="530" spans="1:9" ht="18.75" x14ac:dyDescent="0.35">
      <c r="B530" s="2" t="s">
        <v>415</v>
      </c>
      <c r="H530" s="65">
        <f>H528/H526</f>
        <v>1.1000000000000001</v>
      </c>
    </row>
    <row r="531" spans="1:9" ht="18.75" x14ac:dyDescent="0.35">
      <c r="B531" s="2" t="s">
        <v>416</v>
      </c>
      <c r="H531" s="65">
        <f>H529/H526</f>
        <v>1.0900000000000001</v>
      </c>
    </row>
    <row r="532" spans="1:9" ht="18.75" x14ac:dyDescent="0.35">
      <c r="B532" s="5" t="s">
        <v>417</v>
      </c>
      <c r="C532" s="5"/>
      <c r="D532" s="5"/>
      <c r="E532" s="5"/>
      <c r="F532" s="5"/>
      <c r="G532" s="5"/>
      <c r="H532" s="83">
        <v>0.68059999999999998</v>
      </c>
      <c r="I532" s="5"/>
    </row>
    <row r="533" spans="1:9" ht="18.75" x14ac:dyDescent="0.35">
      <c r="B533" s="5" t="s">
        <v>418</v>
      </c>
      <c r="C533" s="5"/>
      <c r="D533" s="5"/>
      <c r="E533" s="5"/>
      <c r="F533" s="5"/>
      <c r="G533" s="5"/>
      <c r="H533" s="5">
        <v>0.72</v>
      </c>
      <c r="I533" s="5"/>
    </row>
    <row r="534" spans="1:9" x14ac:dyDescent="0.25">
      <c r="B534" s="2" t="s">
        <v>493</v>
      </c>
      <c r="H534" s="8">
        <f>(H528-H529)*I523+H526*(I523-H522*H522/32.2)*(H533-H532)</f>
        <v>4816.6363975155236</v>
      </c>
      <c r="I534" s="2" t="s">
        <v>5</v>
      </c>
    </row>
    <row r="535" spans="1:9" x14ac:dyDescent="0.25">
      <c r="B535" s="2" t="s">
        <v>223</v>
      </c>
      <c r="H535" s="8">
        <f>H497</f>
        <v>5078</v>
      </c>
    </row>
    <row r="536" spans="1:9" x14ac:dyDescent="0.25">
      <c r="B536" s="11" t="s">
        <v>494</v>
      </c>
      <c r="C536" s="46"/>
      <c r="D536" s="46"/>
      <c r="E536" s="46"/>
      <c r="F536" s="46"/>
      <c r="G536" s="46"/>
      <c r="H536" s="46"/>
    </row>
    <row r="538" spans="1:9" x14ac:dyDescent="0.25">
      <c r="B538" s="2" t="s">
        <v>240</v>
      </c>
      <c r="H538" s="9">
        <f>H535/I523</f>
        <v>1.0156000000000001</v>
      </c>
      <c r="I538" s="81" t="s">
        <v>241</v>
      </c>
    </row>
    <row r="539" spans="1:9" x14ac:dyDescent="0.25">
      <c r="B539" s="2" t="str">
        <f>CONCATENATE("Water level along h/w axis at  ", H483," ft u/s of  barrage")</f>
        <v>Water level along h/w axis at  5078 ft u/s of  barrage</v>
      </c>
    </row>
    <row r="540" spans="1:9" x14ac:dyDescent="0.25">
      <c r="C540" s="60" t="s">
        <v>242</v>
      </c>
      <c r="H540" s="9">
        <f>H6+H538+H529</f>
        <v>604.8155999999999</v>
      </c>
      <c r="I540" s="2" t="s">
        <v>5</v>
      </c>
    </row>
    <row r="541" spans="1:9" x14ac:dyDescent="0.25">
      <c r="C541" s="60"/>
      <c r="H541" s="9"/>
    </row>
    <row r="542" spans="1:9" x14ac:dyDescent="0.25">
      <c r="A542" s="77" t="s">
        <v>202</v>
      </c>
      <c r="B542" s="2" t="s">
        <v>243</v>
      </c>
      <c r="H542" s="9">
        <f>H540+H489</f>
        <v>611.8155999999999</v>
      </c>
      <c r="I542" s="2" t="s">
        <v>5</v>
      </c>
    </row>
    <row r="543" spans="1:9" x14ac:dyDescent="0.25">
      <c r="A543" s="77" t="s">
        <v>203</v>
      </c>
      <c r="B543" s="2" t="s">
        <v>244</v>
      </c>
      <c r="H543" s="2">
        <f>H7+H489</f>
        <v>607</v>
      </c>
      <c r="I543" s="2" t="s">
        <v>5</v>
      </c>
    </row>
    <row r="544" spans="1:9" x14ac:dyDescent="0.25">
      <c r="A544" s="77" t="s">
        <v>204</v>
      </c>
      <c r="B544" s="2" t="s">
        <v>245</v>
      </c>
      <c r="H544" s="16">
        <f>H525</f>
        <v>602</v>
      </c>
      <c r="I544" s="2" t="s">
        <v>5</v>
      </c>
    </row>
    <row r="545" spans="2:9" x14ac:dyDescent="0.25">
      <c r="B545" s="2" t="s">
        <v>246</v>
      </c>
      <c r="H545" s="2">
        <f>H490</f>
        <v>6</v>
      </c>
      <c r="I545" s="2" t="s">
        <v>5</v>
      </c>
    </row>
    <row r="546" spans="2:9" x14ac:dyDescent="0.25">
      <c r="B546" s="2" t="s">
        <v>247</v>
      </c>
      <c r="H546" s="16">
        <f>H544+H545</f>
        <v>608</v>
      </c>
      <c r="I546" s="2" t="s">
        <v>5</v>
      </c>
    </row>
    <row r="547" spans="2:9" ht="408.75" customHeight="1" x14ac:dyDescent="0.25"/>
    <row r="548" spans="2:9" ht="18.75" x14ac:dyDescent="0.3">
      <c r="B548" s="75" t="s">
        <v>248</v>
      </c>
    </row>
    <row r="553" spans="2:9" x14ac:dyDescent="0.25">
      <c r="E553" s="9">
        <f>H565</f>
        <v>19.539657683299254</v>
      </c>
    </row>
    <row r="555" spans="2:9" x14ac:dyDescent="0.25">
      <c r="B555" s="16">
        <f>H570</f>
        <v>3.21</v>
      </c>
    </row>
    <row r="563" spans="1:9" x14ac:dyDescent="0.25">
      <c r="B563" s="2" t="s">
        <v>249</v>
      </c>
    </row>
    <row r="565" spans="1:9" x14ac:dyDescent="0.25">
      <c r="B565" s="2" t="s">
        <v>250</v>
      </c>
      <c r="H565" s="84">
        <f>2.5*H384</f>
        <v>19.539657683299254</v>
      </c>
      <c r="I565" s="2" t="s">
        <v>5</v>
      </c>
    </row>
    <row r="566" spans="1:9" x14ac:dyDescent="0.25">
      <c r="B566" s="2" t="s">
        <v>251</v>
      </c>
      <c r="H566" s="9">
        <f>3.16*H384</f>
        <v>24.698127311690257</v>
      </c>
      <c r="I566" s="2" t="s">
        <v>5</v>
      </c>
    </row>
    <row r="567" spans="1:9" x14ac:dyDescent="0.25">
      <c r="B567" s="2" t="s">
        <v>419</v>
      </c>
      <c r="H567" s="2">
        <f>H442</f>
        <v>34</v>
      </c>
      <c r="I567" s="2" t="s">
        <v>252</v>
      </c>
    </row>
    <row r="568" spans="1:9" x14ac:dyDescent="0.25">
      <c r="G568" s="5" t="s">
        <v>253</v>
      </c>
      <c r="H568" s="5">
        <f>ROUNDUP(CONVERT(H567,"in","ft"),0)</f>
        <v>3</v>
      </c>
      <c r="I568" s="5" t="s">
        <v>5</v>
      </c>
    </row>
    <row r="569" spans="1:9" ht="18.75" x14ac:dyDescent="0.25">
      <c r="B569" s="2" t="s">
        <v>254</v>
      </c>
      <c r="H569" s="9">
        <f>H568*H566</f>
        <v>74.094381935070771</v>
      </c>
      <c r="I569" s="2" t="s">
        <v>420</v>
      </c>
    </row>
    <row r="570" spans="1:9" x14ac:dyDescent="0.25">
      <c r="B570" s="2" t="s">
        <v>255</v>
      </c>
      <c r="H570" s="16">
        <f>1.07*H568</f>
        <v>3.21</v>
      </c>
      <c r="I570" s="2" t="s">
        <v>5</v>
      </c>
    </row>
    <row r="571" spans="1:9" x14ac:dyDescent="0.25">
      <c r="B571" s="2" t="s">
        <v>256</v>
      </c>
      <c r="H571" s="16">
        <f>H569/H565</f>
        <v>3.7920000000000003</v>
      </c>
      <c r="I571" s="2" t="s">
        <v>5</v>
      </c>
    </row>
    <row r="572" spans="1:9" ht="18.75" x14ac:dyDescent="0.35">
      <c r="B572" s="2" t="s">
        <v>421</v>
      </c>
      <c r="H572" s="16">
        <f>ROUNDUP(2*H571-H570,0)</f>
        <v>5</v>
      </c>
      <c r="I572" s="2" t="s">
        <v>5</v>
      </c>
    </row>
    <row r="574" spans="1:9" ht="18.75" x14ac:dyDescent="0.3">
      <c r="B574" s="75" t="s">
        <v>257</v>
      </c>
    </row>
    <row r="576" spans="1:9" x14ac:dyDescent="0.25">
      <c r="A576" s="79" t="s">
        <v>202</v>
      </c>
      <c r="B576" s="5" t="s">
        <v>495</v>
      </c>
      <c r="C576" s="5"/>
      <c r="D576" s="5"/>
      <c r="E576" s="5"/>
      <c r="F576" s="5"/>
      <c r="G576" s="5"/>
      <c r="H576" s="5">
        <v>20</v>
      </c>
      <c r="I576" s="5" t="s">
        <v>5</v>
      </c>
    </row>
    <row r="577" spans="1:9" x14ac:dyDescent="0.25">
      <c r="A577" s="79" t="s">
        <v>203</v>
      </c>
      <c r="B577" s="5" t="s">
        <v>258</v>
      </c>
      <c r="C577" s="5"/>
      <c r="D577" s="5"/>
      <c r="E577" s="5"/>
      <c r="F577" s="5"/>
      <c r="G577" s="5"/>
      <c r="H577" s="5">
        <v>5</v>
      </c>
      <c r="I577" s="5" t="s">
        <v>5</v>
      </c>
    </row>
    <row r="578" spans="1:9" x14ac:dyDescent="0.25">
      <c r="A578" s="79" t="s">
        <v>204</v>
      </c>
      <c r="B578" s="5" t="s">
        <v>422</v>
      </c>
      <c r="C578" s="5"/>
      <c r="D578" s="5"/>
      <c r="E578" s="5"/>
      <c r="F578" s="5"/>
      <c r="G578" s="5"/>
      <c r="H578" s="85" t="s">
        <v>117</v>
      </c>
      <c r="I578" s="62">
        <v>3</v>
      </c>
    </row>
    <row r="579" spans="1:9" x14ac:dyDescent="0.25">
      <c r="A579" s="79" t="s">
        <v>209</v>
      </c>
      <c r="B579" s="5" t="s">
        <v>259</v>
      </c>
      <c r="C579" s="5"/>
      <c r="D579" s="5"/>
      <c r="E579" s="5"/>
      <c r="F579" s="5"/>
      <c r="G579" s="5"/>
      <c r="H579" s="5"/>
      <c r="I579" s="5"/>
    </row>
    <row r="580" spans="1:9" x14ac:dyDescent="0.25">
      <c r="A580" s="79"/>
      <c r="B580" s="5" t="s">
        <v>260</v>
      </c>
      <c r="C580" s="5"/>
      <c r="D580" s="5"/>
      <c r="E580" s="5"/>
      <c r="F580" s="5"/>
      <c r="G580" s="5"/>
      <c r="H580" s="5"/>
      <c r="I580" s="5"/>
    </row>
    <row r="581" spans="1:9" x14ac:dyDescent="0.25">
      <c r="A581" s="77" t="s">
        <v>211</v>
      </c>
      <c r="B581" s="2" t="s">
        <v>261</v>
      </c>
      <c r="H581" s="9">
        <f>H542</f>
        <v>611.8155999999999</v>
      </c>
      <c r="I581" s="2" t="s">
        <v>5</v>
      </c>
    </row>
    <row r="582" spans="1:9" x14ac:dyDescent="0.25">
      <c r="A582" s="79"/>
      <c r="B582" s="5" t="s">
        <v>262</v>
      </c>
      <c r="C582" s="5"/>
      <c r="D582" s="5"/>
      <c r="E582" s="5"/>
      <c r="F582" s="5"/>
      <c r="G582" s="5"/>
      <c r="H582" s="5">
        <v>5</v>
      </c>
      <c r="I582" s="5" t="s">
        <v>5</v>
      </c>
    </row>
    <row r="583" spans="1:9" x14ac:dyDescent="0.25">
      <c r="A583" s="77"/>
      <c r="B583" s="2" t="s">
        <v>263</v>
      </c>
      <c r="H583" s="9">
        <f>H581+H582</f>
        <v>616.8155999999999</v>
      </c>
      <c r="I583" s="2" t="s">
        <v>5</v>
      </c>
    </row>
    <row r="584" spans="1:9" x14ac:dyDescent="0.25">
      <c r="A584" s="77"/>
    </row>
    <row r="585" spans="1:9" x14ac:dyDescent="0.25">
      <c r="A585" s="77"/>
      <c r="B585" s="11" t="s">
        <v>264</v>
      </c>
    </row>
    <row r="586" spans="1:9" x14ac:dyDescent="0.25">
      <c r="A586" s="77"/>
    </row>
    <row r="587" spans="1:9" x14ac:dyDescent="0.25">
      <c r="A587" s="77"/>
      <c r="B587" s="2" t="s">
        <v>265</v>
      </c>
    </row>
    <row r="588" spans="1:9" x14ac:dyDescent="0.25">
      <c r="A588" s="77"/>
    </row>
    <row r="602" spans="2:9" ht="18.75" x14ac:dyDescent="0.35">
      <c r="B602" s="2" t="s">
        <v>423</v>
      </c>
      <c r="H602" s="16">
        <f>E122</f>
        <v>604</v>
      </c>
      <c r="I602" s="2" t="s">
        <v>5</v>
      </c>
    </row>
    <row r="603" spans="2:9" x14ac:dyDescent="0.25">
      <c r="B603" s="2" t="s">
        <v>103</v>
      </c>
      <c r="H603" s="2">
        <f>H6</f>
        <v>582</v>
      </c>
      <c r="I603" s="2" t="s">
        <v>5</v>
      </c>
    </row>
    <row r="604" spans="2:9" x14ac:dyDescent="0.25">
      <c r="B604" s="2" t="s">
        <v>266</v>
      </c>
      <c r="H604" s="2">
        <f>H7</f>
        <v>600</v>
      </c>
      <c r="I604" s="2" t="s">
        <v>5</v>
      </c>
    </row>
    <row r="605" spans="2:9" ht="18.75" x14ac:dyDescent="0.35">
      <c r="B605" s="2" t="s">
        <v>424</v>
      </c>
      <c r="H605" s="16">
        <f>H602-H603</f>
        <v>22</v>
      </c>
      <c r="I605" s="2" t="s">
        <v>5</v>
      </c>
    </row>
    <row r="606" spans="2:9" x14ac:dyDescent="0.25">
      <c r="B606" s="2" t="s">
        <v>267</v>
      </c>
      <c r="F606" s="80"/>
      <c r="H606" s="2">
        <f>H604-H603</f>
        <v>18</v>
      </c>
      <c r="I606" s="2" t="s">
        <v>5</v>
      </c>
    </row>
    <row r="607" spans="2:9" x14ac:dyDescent="0.25">
      <c r="B607" s="2" t="s">
        <v>268</v>
      </c>
      <c r="H607" s="64" t="s">
        <v>117</v>
      </c>
      <c r="I607" s="205">
        <f>I523</f>
        <v>5000</v>
      </c>
    </row>
    <row r="608" spans="2:9" x14ac:dyDescent="0.25">
      <c r="B608" s="11" t="s">
        <v>269</v>
      </c>
    </row>
    <row r="609" spans="2:14" s="90" customFormat="1" ht="18.75" x14ac:dyDescent="0.35">
      <c r="B609" s="87" t="s">
        <v>62</v>
      </c>
      <c r="C609" s="87" t="s">
        <v>425</v>
      </c>
      <c r="D609" s="87" t="s">
        <v>426</v>
      </c>
      <c r="E609" s="88"/>
      <c r="F609" s="88"/>
      <c r="G609" s="88"/>
      <c r="H609" s="87"/>
      <c r="I609" s="89"/>
      <c r="J609" s="89"/>
      <c r="K609" s="88"/>
      <c r="L609" s="87" t="s">
        <v>270</v>
      </c>
      <c r="M609" s="87" t="s">
        <v>239</v>
      </c>
    </row>
    <row r="610" spans="2:14" s="90" customFormat="1" x14ac:dyDescent="0.25">
      <c r="B610" s="91"/>
      <c r="C610" s="91"/>
      <c r="D610" s="91"/>
      <c r="E610" s="91"/>
      <c r="F610" s="91"/>
      <c r="G610" s="91"/>
      <c r="H610" s="92"/>
      <c r="I610" s="93"/>
      <c r="J610" s="93"/>
      <c r="K610" s="91"/>
      <c r="L610" s="91" t="s">
        <v>271</v>
      </c>
      <c r="M610" s="94" t="s">
        <v>272</v>
      </c>
    </row>
    <row r="611" spans="2:14" s="97" customFormat="1" ht="13.5" thickBot="1" x14ac:dyDescent="0.25">
      <c r="B611" s="95">
        <v>1</v>
      </c>
      <c r="C611" s="95">
        <f>B611+1</f>
        <v>2</v>
      </c>
      <c r="D611" s="95">
        <f t="shared" ref="D611:M611" si="36">C611+1</f>
        <v>3</v>
      </c>
      <c r="E611" s="95">
        <f t="shared" si="36"/>
        <v>4</v>
      </c>
      <c r="F611" s="95">
        <f t="shared" si="36"/>
        <v>5</v>
      </c>
      <c r="G611" s="95">
        <f t="shared" si="36"/>
        <v>6</v>
      </c>
      <c r="H611" s="95">
        <f t="shared" si="36"/>
        <v>7</v>
      </c>
      <c r="I611" s="96">
        <f t="shared" si="36"/>
        <v>8</v>
      </c>
      <c r="J611" s="96">
        <f t="shared" si="36"/>
        <v>9</v>
      </c>
      <c r="K611" s="95">
        <f t="shared" si="36"/>
        <v>10</v>
      </c>
      <c r="L611" s="95">
        <f t="shared" si="36"/>
        <v>11</v>
      </c>
      <c r="M611" s="95">
        <f t="shared" si="36"/>
        <v>12</v>
      </c>
    </row>
    <row r="612" spans="2:14" ht="16.5" thickBot="1" x14ac:dyDescent="0.3">
      <c r="B612" s="36">
        <f>$H$606</f>
        <v>18</v>
      </c>
      <c r="C612" s="98">
        <f>H605</f>
        <v>22</v>
      </c>
      <c r="D612" s="98">
        <f>C612-0.5</f>
        <v>21.5</v>
      </c>
      <c r="E612" s="38">
        <f>(C612-D612)*$I$607</f>
        <v>2500</v>
      </c>
      <c r="F612" s="98">
        <f>$I$607-POWER($H$522,2)/32.2</f>
        <v>4843.4472049689439</v>
      </c>
      <c r="G612" s="99">
        <f>C612/B612</f>
        <v>1.2222222222222223</v>
      </c>
      <c r="H612" s="99">
        <f>D612/B612</f>
        <v>1.1944444444444444</v>
      </c>
      <c r="I612" s="37">
        <v>0.45529999999999998</v>
      </c>
      <c r="J612" s="37">
        <f>I613</f>
        <v>0.47989999999999999</v>
      </c>
      <c r="K612" s="38">
        <f>J612-I612</f>
        <v>2.4600000000000011E-2</v>
      </c>
      <c r="L612" s="100">
        <f>F612*K612*B612</f>
        <v>2144.6784223602494</v>
      </c>
      <c r="M612" s="101">
        <f>L612+E612</f>
        <v>4644.6784223602499</v>
      </c>
    </row>
    <row r="613" spans="2:14" ht="16.5" thickBot="1" x14ac:dyDescent="0.3">
      <c r="B613" s="27">
        <f t="shared" ref="B613:B619" si="37">$H$606</f>
        <v>18</v>
      </c>
      <c r="C613" s="28">
        <f>C612-0.5</f>
        <v>21.5</v>
      </c>
      <c r="D613" s="28">
        <f t="shared" ref="D613:D618" si="38">C613-0.5</f>
        <v>21</v>
      </c>
      <c r="E613" s="24">
        <f t="shared" ref="E613:E619" si="39">(C613-D613)*$I$607</f>
        <v>2500</v>
      </c>
      <c r="F613" s="28">
        <f t="shared" ref="F613:F619" si="40">$I$607-POWER($H$522,2)/32.2</f>
        <v>4843.4472049689439</v>
      </c>
      <c r="G613" s="30">
        <f t="shared" ref="G613:G619" si="41">C613/B613</f>
        <v>1.1944444444444444</v>
      </c>
      <c r="H613" s="30">
        <f t="shared" ref="H613:H619" si="42">D613/B613</f>
        <v>1.1666666666666667</v>
      </c>
      <c r="I613" s="25">
        <v>0.47989999999999999</v>
      </c>
      <c r="J613" s="37">
        <f t="shared" ref="J613:J618" si="43">I614</f>
        <v>0.53449999999999998</v>
      </c>
      <c r="K613" s="24">
        <f t="shared" ref="K613:K619" si="44">J613-I613</f>
        <v>5.4599999999999982E-2</v>
      </c>
      <c r="L613" s="74">
        <f t="shared" ref="L613:L619" si="45">F613*K613*B613</f>
        <v>4760.1399130434766</v>
      </c>
      <c r="M613" s="102">
        <f t="shared" ref="M613:M619" si="46">L613+E613</f>
        <v>7260.1399130434766</v>
      </c>
    </row>
    <row r="614" spans="2:14" ht="16.5" thickBot="1" x14ac:dyDescent="0.3">
      <c r="B614" s="27">
        <f t="shared" si="37"/>
        <v>18</v>
      </c>
      <c r="C614" s="28">
        <f t="shared" ref="C614:C619" si="47">C613-0.5</f>
        <v>21</v>
      </c>
      <c r="D614" s="28">
        <f t="shared" si="38"/>
        <v>20.5</v>
      </c>
      <c r="E614" s="24">
        <f t="shared" si="39"/>
        <v>2500</v>
      </c>
      <c r="F614" s="28">
        <f t="shared" si="40"/>
        <v>4843.4472049689439</v>
      </c>
      <c r="G614" s="30">
        <f t="shared" si="41"/>
        <v>1.1666666666666667</v>
      </c>
      <c r="H614" s="30">
        <f t="shared" si="42"/>
        <v>1.1388888888888888</v>
      </c>
      <c r="I614" s="25">
        <v>0.53449999999999998</v>
      </c>
      <c r="J614" s="37">
        <f t="shared" si="43"/>
        <v>0.62529999999999997</v>
      </c>
      <c r="K614" s="24">
        <f t="shared" si="44"/>
        <v>9.0799999999999992E-2</v>
      </c>
      <c r="L614" s="74">
        <f t="shared" si="45"/>
        <v>7916.1301118012416</v>
      </c>
      <c r="M614" s="102">
        <f t="shared" si="46"/>
        <v>10416.130111801242</v>
      </c>
    </row>
    <row r="615" spans="2:14" ht="16.5" thickBot="1" x14ac:dyDescent="0.3">
      <c r="B615" s="27">
        <f t="shared" si="37"/>
        <v>18</v>
      </c>
      <c r="C615" s="28">
        <f t="shared" si="47"/>
        <v>20.5</v>
      </c>
      <c r="D615" s="28">
        <f t="shared" si="38"/>
        <v>20</v>
      </c>
      <c r="E615" s="24">
        <f t="shared" si="39"/>
        <v>2500</v>
      </c>
      <c r="F615" s="28">
        <f t="shared" si="40"/>
        <v>4843.4472049689439</v>
      </c>
      <c r="G615" s="30">
        <f t="shared" si="41"/>
        <v>1.1388888888888888</v>
      </c>
      <c r="H615" s="30">
        <f t="shared" si="42"/>
        <v>1.1111111111111112</v>
      </c>
      <c r="I615" s="25">
        <v>0.62529999999999997</v>
      </c>
      <c r="J615" s="37">
        <f t="shared" si="43"/>
        <v>0.64529999999999998</v>
      </c>
      <c r="K615" s="24">
        <f t="shared" si="44"/>
        <v>2.0000000000000018E-2</v>
      </c>
      <c r="L615" s="74">
        <f t="shared" si="45"/>
        <v>1743.6409937888213</v>
      </c>
      <c r="M615" s="102">
        <f t="shared" si="46"/>
        <v>4243.6409937888211</v>
      </c>
    </row>
    <row r="616" spans="2:14" ht="16.5" thickBot="1" x14ac:dyDescent="0.3">
      <c r="B616" s="27">
        <f t="shared" si="37"/>
        <v>18</v>
      </c>
      <c r="C616" s="28">
        <f t="shared" si="47"/>
        <v>20</v>
      </c>
      <c r="D616" s="28">
        <f t="shared" si="38"/>
        <v>19.5</v>
      </c>
      <c r="E616" s="24">
        <f t="shared" si="39"/>
        <v>2500</v>
      </c>
      <c r="F616" s="28">
        <f t="shared" si="40"/>
        <v>4843.4472049689439</v>
      </c>
      <c r="G616" s="30">
        <f t="shared" si="41"/>
        <v>1.1111111111111112</v>
      </c>
      <c r="H616" s="30">
        <f t="shared" si="42"/>
        <v>1.0833333333333333</v>
      </c>
      <c r="I616" s="25">
        <v>0.64529999999999998</v>
      </c>
      <c r="J616" s="37">
        <f t="shared" si="43"/>
        <v>0.79559999999999997</v>
      </c>
      <c r="K616" s="24">
        <f t="shared" si="44"/>
        <v>0.15029999999999999</v>
      </c>
      <c r="L616" s="74">
        <f t="shared" si="45"/>
        <v>13103.46206832298</v>
      </c>
      <c r="M616" s="102">
        <f t="shared" si="46"/>
        <v>15603.46206832298</v>
      </c>
    </row>
    <row r="617" spans="2:14" ht="16.5" thickBot="1" x14ac:dyDescent="0.3">
      <c r="B617" s="27">
        <f t="shared" si="37"/>
        <v>18</v>
      </c>
      <c r="C617" s="28">
        <f t="shared" si="47"/>
        <v>19.5</v>
      </c>
      <c r="D617" s="28">
        <f t="shared" si="38"/>
        <v>19</v>
      </c>
      <c r="E617" s="24">
        <f t="shared" si="39"/>
        <v>2500</v>
      </c>
      <c r="F617" s="28">
        <f t="shared" si="40"/>
        <v>4843.4472049689439</v>
      </c>
      <c r="G617" s="30">
        <f t="shared" si="41"/>
        <v>1.0833333333333333</v>
      </c>
      <c r="H617" s="30">
        <f t="shared" si="42"/>
        <v>1.0555555555555556</v>
      </c>
      <c r="I617" s="25">
        <v>0.79559999999999997</v>
      </c>
      <c r="J617" s="37">
        <f t="shared" si="43"/>
        <v>0.85640000000000005</v>
      </c>
      <c r="K617" s="24">
        <f t="shared" si="44"/>
        <v>6.0800000000000076E-2</v>
      </c>
      <c r="L617" s="74">
        <f t="shared" si="45"/>
        <v>5300.6686211180186</v>
      </c>
      <c r="M617" s="102">
        <f t="shared" si="46"/>
        <v>7800.6686211180186</v>
      </c>
    </row>
    <row r="618" spans="2:14" x14ac:dyDescent="0.25">
      <c r="B618" s="27">
        <f t="shared" si="37"/>
        <v>18</v>
      </c>
      <c r="C618" s="28">
        <f t="shared" si="47"/>
        <v>19</v>
      </c>
      <c r="D618" s="28">
        <f t="shared" si="38"/>
        <v>18.5</v>
      </c>
      <c r="E618" s="24">
        <f t="shared" si="39"/>
        <v>2500</v>
      </c>
      <c r="F618" s="28">
        <f t="shared" si="40"/>
        <v>4843.4472049689439</v>
      </c>
      <c r="G618" s="30">
        <f t="shared" si="41"/>
        <v>1.0555555555555556</v>
      </c>
      <c r="H618" s="30">
        <f t="shared" si="42"/>
        <v>1.0277777777777777</v>
      </c>
      <c r="I618" s="25">
        <v>0.85640000000000005</v>
      </c>
      <c r="J618" s="37">
        <f t="shared" si="43"/>
        <v>1.155</v>
      </c>
      <c r="K618" s="24">
        <f t="shared" si="44"/>
        <v>0.29859999999999998</v>
      </c>
      <c r="L618" s="74">
        <f t="shared" si="45"/>
        <v>26032.560037267078</v>
      </c>
      <c r="M618" s="102">
        <f t="shared" si="46"/>
        <v>28532.560037267078</v>
      </c>
    </row>
    <row r="619" spans="2:14" ht="16.5" thickBot="1" x14ac:dyDescent="0.3">
      <c r="B619" s="31">
        <f t="shared" si="37"/>
        <v>18</v>
      </c>
      <c r="C619" s="34">
        <f t="shared" si="47"/>
        <v>18.5</v>
      </c>
      <c r="D619" s="34">
        <f>C619-0.4</f>
        <v>18.100000000000001</v>
      </c>
      <c r="E619" s="33">
        <f t="shared" si="39"/>
        <v>1999.999999999993</v>
      </c>
      <c r="F619" s="34">
        <f t="shared" si="40"/>
        <v>4843.4472049689439</v>
      </c>
      <c r="G619" s="103">
        <f t="shared" si="41"/>
        <v>1.0277777777777777</v>
      </c>
      <c r="H619" s="103">
        <f t="shared" si="42"/>
        <v>1.0055555555555555</v>
      </c>
      <c r="I619" s="32">
        <v>1.155</v>
      </c>
      <c r="J619" s="32">
        <v>1.5881000000000001</v>
      </c>
      <c r="K619" s="33">
        <f t="shared" si="44"/>
        <v>0.43310000000000004</v>
      </c>
      <c r="L619" s="104">
        <f t="shared" si="45"/>
        <v>37758.545720496899</v>
      </c>
      <c r="M619" s="105">
        <f t="shared" si="46"/>
        <v>39758.545720496892</v>
      </c>
    </row>
    <row r="620" spans="2:14" x14ac:dyDescent="0.25">
      <c r="B620" s="2" t="s">
        <v>496</v>
      </c>
      <c r="C620" s="16"/>
      <c r="L620" s="2" t="s">
        <v>273</v>
      </c>
      <c r="M620" s="8">
        <f>SUM(M612:M619)</f>
        <v>118259.82588819874</v>
      </c>
      <c r="N620" s="2" t="s">
        <v>5</v>
      </c>
    </row>
    <row r="621" spans="2:14" x14ac:dyDescent="0.25">
      <c r="B621" s="16" t="str">
        <f>CONCATENATE("Hence length of backwater cure = ",M621,"  miles")</f>
        <v>Hence length of backwater cure = 22.4  miles</v>
      </c>
      <c r="M621" s="12">
        <f>ROUNDUP(M620/5280,2)</f>
        <v>22.400000000000002</v>
      </c>
      <c r="N621" s="11" t="s">
        <v>274</v>
      </c>
    </row>
    <row r="623" spans="2:14" x14ac:dyDescent="0.25">
      <c r="C623" s="16"/>
    </row>
    <row r="624" spans="2:14" ht="20.25" x14ac:dyDescent="0.3">
      <c r="B624" s="106" t="s">
        <v>275</v>
      </c>
      <c r="C624" s="16"/>
    </row>
    <row r="625" spans="2:9" ht="18.75" x14ac:dyDescent="0.3">
      <c r="B625" s="75" t="s">
        <v>276</v>
      </c>
      <c r="C625" s="16"/>
    </row>
    <row r="627" spans="2:9" ht="18.75" x14ac:dyDescent="0.3">
      <c r="B627" s="75" t="s">
        <v>277</v>
      </c>
    </row>
    <row r="629" spans="2:9" x14ac:dyDescent="0.25">
      <c r="B629" s="2" t="s">
        <v>278</v>
      </c>
      <c r="H629" s="9">
        <f>H54</f>
        <v>18.835443152806977</v>
      </c>
      <c r="I629" s="2" t="s">
        <v>5</v>
      </c>
    </row>
    <row r="630" spans="2:9" x14ac:dyDescent="0.25">
      <c r="B630" s="2" t="s">
        <v>279</v>
      </c>
      <c r="H630" s="2">
        <f>ROUNDUP(1.5*H629,0)</f>
        <v>29</v>
      </c>
      <c r="I630" s="2" t="s">
        <v>5</v>
      </c>
    </row>
    <row r="631" spans="2:9" ht="18.75" x14ac:dyDescent="0.35">
      <c r="B631" s="2" t="s">
        <v>427</v>
      </c>
      <c r="H631" s="169">
        <f>E122</f>
        <v>604</v>
      </c>
      <c r="I631" s="2" t="s">
        <v>5</v>
      </c>
    </row>
    <row r="632" spans="2:9" x14ac:dyDescent="0.25">
      <c r="B632" s="2" t="s">
        <v>497</v>
      </c>
      <c r="H632" s="16">
        <f>H631-H630</f>
        <v>575</v>
      </c>
      <c r="I632" s="2" t="s">
        <v>5</v>
      </c>
    </row>
    <row r="633" spans="2:9" x14ac:dyDescent="0.25">
      <c r="B633" s="2" t="s">
        <v>280</v>
      </c>
      <c r="H633" s="2">
        <f>ROUNDUP(2*H629,0)</f>
        <v>38</v>
      </c>
      <c r="I633" s="2" t="s">
        <v>5</v>
      </c>
    </row>
    <row r="634" spans="2:9" x14ac:dyDescent="0.25">
      <c r="B634" s="2" t="s">
        <v>281</v>
      </c>
      <c r="H634" s="16">
        <f>H631-H633</f>
        <v>566</v>
      </c>
      <c r="I634" s="2" t="s">
        <v>5</v>
      </c>
    </row>
    <row r="635" spans="2:9" x14ac:dyDescent="0.25">
      <c r="B635" s="5" t="s">
        <v>498</v>
      </c>
      <c r="C635" s="5"/>
      <c r="D635" s="5"/>
      <c r="E635" s="5"/>
      <c r="F635" s="5"/>
      <c r="G635" s="5"/>
      <c r="H635" s="5">
        <v>550</v>
      </c>
      <c r="I635" s="5" t="s">
        <v>5</v>
      </c>
    </row>
    <row r="638" spans="2:9" x14ac:dyDescent="0.25">
      <c r="C638" s="16">
        <f>E122</f>
        <v>604</v>
      </c>
      <c r="D638" s="2" t="s">
        <v>5</v>
      </c>
    </row>
    <row r="639" spans="2:9" x14ac:dyDescent="0.25">
      <c r="C639" s="80"/>
    </row>
    <row r="641" spans="2:9" x14ac:dyDescent="0.25">
      <c r="E641" s="107">
        <f>H62</f>
        <v>590.16455684719301</v>
      </c>
      <c r="F641" s="81" t="s">
        <v>5</v>
      </c>
    </row>
    <row r="642" spans="2:9" x14ac:dyDescent="0.25">
      <c r="B642" s="16">
        <f>H6</f>
        <v>582</v>
      </c>
      <c r="C642" s="108" t="s">
        <v>117</v>
      </c>
      <c r="D642" s="109">
        <v>4</v>
      </c>
      <c r="F642" s="15"/>
    </row>
    <row r="643" spans="2:9" x14ac:dyDescent="0.25">
      <c r="C643" s="110" t="s">
        <v>282</v>
      </c>
      <c r="D643" s="15" t="s">
        <v>283</v>
      </c>
      <c r="F643" s="111" t="s">
        <v>117</v>
      </c>
      <c r="G643" s="112">
        <v>3</v>
      </c>
    </row>
    <row r="644" spans="2:9" x14ac:dyDescent="0.25">
      <c r="H644" s="9">
        <f>D161</f>
        <v>576.48501943483075</v>
      </c>
    </row>
    <row r="645" spans="2:9" x14ac:dyDescent="0.25">
      <c r="C645" s="113" t="s">
        <v>284</v>
      </c>
      <c r="G645" s="15" t="s">
        <v>285</v>
      </c>
      <c r="I645" s="15" t="s">
        <v>286</v>
      </c>
    </row>
    <row r="646" spans="2:9" x14ac:dyDescent="0.25">
      <c r="D646" s="114">
        <f>H632</f>
        <v>575</v>
      </c>
      <c r="H646" s="115">
        <f>E234</f>
        <v>76</v>
      </c>
    </row>
    <row r="647" spans="2:9" x14ac:dyDescent="0.25">
      <c r="G647" s="15" t="s">
        <v>287</v>
      </c>
    </row>
    <row r="648" spans="2:9" x14ac:dyDescent="0.25">
      <c r="G648" s="116">
        <f>H634</f>
        <v>566</v>
      </c>
      <c r="I648" s="15" t="s">
        <v>288</v>
      </c>
    </row>
    <row r="649" spans="2:9" x14ac:dyDescent="0.25">
      <c r="B649" s="113" t="s">
        <v>502</v>
      </c>
      <c r="C649" s="170">
        <f>1.5*H671</f>
        <v>47.27247084775388</v>
      </c>
      <c r="D649" s="117">
        <f>(E641-B642)*D642</f>
        <v>32.658227388772048</v>
      </c>
      <c r="E649" s="203">
        <v>6</v>
      </c>
      <c r="F649" s="9">
        <f>(E641-H644)*G643</f>
        <v>41.038612237086795</v>
      </c>
      <c r="I649" s="116">
        <f>H635</f>
        <v>550</v>
      </c>
    </row>
    <row r="653" spans="2:9" ht="18.75" x14ac:dyDescent="0.3">
      <c r="B653" s="75" t="s">
        <v>289</v>
      </c>
    </row>
    <row r="668" spans="2:13" x14ac:dyDescent="0.25">
      <c r="B668" s="2" t="s">
        <v>499</v>
      </c>
      <c r="H668" s="16">
        <f>E122</f>
        <v>604</v>
      </c>
      <c r="I668" s="2" t="s">
        <v>5</v>
      </c>
    </row>
    <row r="669" spans="2:13" x14ac:dyDescent="0.25">
      <c r="B669" s="5" t="s">
        <v>500</v>
      </c>
      <c r="C669" s="5"/>
      <c r="D669" s="5"/>
      <c r="E669" s="5"/>
      <c r="F669" s="5"/>
      <c r="G669" s="5"/>
      <c r="H669" s="5">
        <v>4</v>
      </c>
      <c r="I669" s="5" t="s">
        <v>5</v>
      </c>
    </row>
    <row r="670" spans="2:13" x14ac:dyDescent="0.25">
      <c r="B670" s="7" t="s">
        <v>88</v>
      </c>
      <c r="C670" s="7"/>
      <c r="D670" s="7"/>
      <c r="E670" s="7"/>
      <c r="F670" s="7"/>
      <c r="G670" s="7"/>
      <c r="H670" s="118">
        <f>D161</f>
        <v>576.48501943483075</v>
      </c>
      <c r="I670" s="7" t="s">
        <v>5</v>
      </c>
      <c r="M670" s="2">
        <f>H635</f>
        <v>550</v>
      </c>
    </row>
    <row r="671" spans="2:13" x14ac:dyDescent="0.25">
      <c r="B671" s="14" t="s">
        <v>428</v>
      </c>
      <c r="H671" s="16">
        <f>H668-H670+H669</f>
        <v>31.514980565169253</v>
      </c>
      <c r="I671" s="2" t="s">
        <v>5</v>
      </c>
    </row>
    <row r="672" spans="2:13" x14ac:dyDescent="0.25">
      <c r="B672" s="2" t="s">
        <v>429</v>
      </c>
      <c r="H672" s="16">
        <f>H670-H635</f>
        <v>26.485019434830747</v>
      </c>
      <c r="I672" s="2" t="s">
        <v>5</v>
      </c>
    </row>
    <row r="673" spans="2:13" x14ac:dyDescent="0.25">
      <c r="B673" s="2" t="s">
        <v>290</v>
      </c>
      <c r="H673" s="9">
        <f>C649+D649+E649+F649+H646</f>
        <v>202.96931047361272</v>
      </c>
      <c r="I673" s="2" t="s">
        <v>5</v>
      </c>
      <c r="M673" s="2">
        <f>C649</f>
        <v>47.27247084775388</v>
      </c>
    </row>
    <row r="674" spans="2:13" ht="18.75" x14ac:dyDescent="0.3">
      <c r="B674" s="1" t="s">
        <v>291</v>
      </c>
      <c r="H674" s="9">
        <f>H673/H672</f>
        <v>7.6635515021252161</v>
      </c>
    </row>
    <row r="675" spans="2:13" x14ac:dyDescent="0.25">
      <c r="B675" s="79" t="s">
        <v>292</v>
      </c>
      <c r="C675" s="5" t="s">
        <v>293</v>
      </c>
      <c r="D675" s="5" t="s">
        <v>294</v>
      </c>
      <c r="E675" s="5"/>
      <c r="F675" s="5"/>
      <c r="G675" s="5"/>
      <c r="H675" s="5">
        <v>0.15</v>
      </c>
      <c r="I675" s="5"/>
    </row>
    <row r="677" spans="2:13" ht="18.75" x14ac:dyDescent="0.35">
      <c r="B677" s="2" t="s">
        <v>430</v>
      </c>
      <c r="H677" s="65">
        <f>H671/H672*H675</f>
        <v>0.17848758225030911</v>
      </c>
      <c r="I677" s="11" t="str">
        <f>IF(AND(H677&gt;=(1/7),H677&lt;=0.2),"SAFE", "UNSAFE")</f>
        <v>SAFE</v>
      </c>
    </row>
    <row r="678" spans="2:13" x14ac:dyDescent="0.25">
      <c r="B678" s="2" t="s">
        <v>511</v>
      </c>
    </row>
    <row r="680" spans="2:13" ht="18.75" x14ac:dyDescent="0.3">
      <c r="B680" s="75" t="s">
        <v>295</v>
      </c>
    </row>
    <row r="682" spans="2:13" x14ac:dyDescent="0.25">
      <c r="B682" s="11" t="s">
        <v>296</v>
      </c>
    </row>
    <row r="684" spans="2:13" ht="18.75" x14ac:dyDescent="0.35">
      <c r="B684" s="2" t="s">
        <v>431</v>
      </c>
      <c r="H684" s="9">
        <f>C649</f>
        <v>47.27247084775388</v>
      </c>
      <c r="I684" s="2" t="s">
        <v>5</v>
      </c>
    </row>
    <row r="685" spans="2:13" x14ac:dyDescent="0.25">
      <c r="B685" s="2" t="s">
        <v>297</v>
      </c>
      <c r="H685" s="9">
        <f>H673</f>
        <v>202.96931047361272</v>
      </c>
      <c r="I685" s="2" t="s">
        <v>5</v>
      </c>
    </row>
    <row r="686" spans="2:13" x14ac:dyDescent="0.25">
      <c r="B686" s="2" t="s">
        <v>501</v>
      </c>
      <c r="H686" s="16">
        <f>H6-H632</f>
        <v>7</v>
      </c>
      <c r="I686" s="2" t="s">
        <v>5</v>
      </c>
    </row>
    <row r="687" spans="2:13" ht="18.75" x14ac:dyDescent="0.35">
      <c r="B687" s="5" t="s">
        <v>512</v>
      </c>
      <c r="C687" s="5"/>
      <c r="D687" s="5"/>
      <c r="E687" s="5"/>
      <c r="F687" s="5"/>
      <c r="G687" s="5"/>
      <c r="H687" s="5">
        <v>2.5</v>
      </c>
      <c r="I687" s="5" t="s">
        <v>5</v>
      </c>
    </row>
    <row r="688" spans="2:13" x14ac:dyDescent="0.25">
      <c r="B688" s="2" t="s">
        <v>432</v>
      </c>
      <c r="H688" s="119">
        <f>H686/H685</f>
        <v>3.4487972510061041E-2</v>
      </c>
    </row>
    <row r="689" spans="1:9" x14ac:dyDescent="0.25">
      <c r="B689" s="2" t="s">
        <v>291</v>
      </c>
      <c r="H689" s="9">
        <f>H685/H686</f>
        <v>28.995615781944675</v>
      </c>
    </row>
    <row r="690" spans="1:9" ht="18.75" x14ac:dyDescent="0.35">
      <c r="B690" s="2" t="s">
        <v>433</v>
      </c>
      <c r="H690" s="65">
        <f>H684/H685</f>
        <v>0.23290452501142825</v>
      </c>
    </row>
    <row r="691" spans="1:9" ht="18.75" x14ac:dyDescent="0.35">
      <c r="B691" s="2" t="s">
        <v>434</v>
      </c>
      <c r="H691" s="65">
        <f>1-H690</f>
        <v>0.76709547498857178</v>
      </c>
    </row>
    <row r="692" spans="1:9" x14ac:dyDescent="0.25">
      <c r="B692" s="120" t="s">
        <v>299</v>
      </c>
      <c r="C692" s="121" t="s">
        <v>300</v>
      </c>
      <c r="D692" s="5"/>
      <c r="E692" s="5"/>
      <c r="F692" s="77" t="s">
        <v>301</v>
      </c>
      <c r="G692" s="62">
        <v>30</v>
      </c>
      <c r="H692" s="2">
        <v>70</v>
      </c>
      <c r="I692" s="5" t="s">
        <v>46</v>
      </c>
    </row>
    <row r="693" spans="1:9" x14ac:dyDescent="0.25">
      <c r="B693" s="120" t="s">
        <v>302</v>
      </c>
      <c r="C693" s="121" t="s">
        <v>300</v>
      </c>
      <c r="D693" s="122"/>
      <c r="E693" s="122"/>
      <c r="F693" s="77" t="s">
        <v>301</v>
      </c>
      <c r="G693" s="62">
        <v>31</v>
      </c>
      <c r="H693" s="2">
        <v>69</v>
      </c>
      <c r="I693" s="5" t="s">
        <v>46</v>
      </c>
    </row>
    <row r="694" spans="1:9" x14ac:dyDescent="0.25">
      <c r="B694" s="123" t="s">
        <v>299</v>
      </c>
      <c r="C694" s="121" t="s">
        <v>300</v>
      </c>
      <c r="D694" s="5"/>
      <c r="E694" s="5"/>
      <c r="F694" s="5"/>
      <c r="G694" s="5"/>
      <c r="H694" s="5">
        <v>65</v>
      </c>
      <c r="I694" s="5" t="s">
        <v>46</v>
      </c>
    </row>
    <row r="695" spans="1:9" x14ac:dyDescent="0.25">
      <c r="B695" s="80"/>
    </row>
    <row r="696" spans="1:9" x14ac:dyDescent="0.25">
      <c r="A696" s="77" t="s">
        <v>202</v>
      </c>
      <c r="B696" s="11" t="s">
        <v>303</v>
      </c>
    </row>
    <row r="697" spans="1:9" x14ac:dyDescent="0.25">
      <c r="C697" s="80"/>
    </row>
    <row r="698" spans="1:9" x14ac:dyDescent="0.25">
      <c r="B698" s="2" t="s">
        <v>304</v>
      </c>
      <c r="C698" s="124"/>
      <c r="D698" s="80"/>
      <c r="H698" s="65">
        <f>H687/H686*(H692-H694)</f>
        <v>1.7857142857142858</v>
      </c>
      <c r="I698" s="2" t="s">
        <v>46</v>
      </c>
    </row>
    <row r="700" spans="1:9" x14ac:dyDescent="0.25">
      <c r="B700" s="2" t="s">
        <v>304</v>
      </c>
      <c r="C700" s="80"/>
      <c r="G700" s="64" t="s">
        <v>305</v>
      </c>
      <c r="H700" s="2">
        <f>H687/H686*(H693-H692)</f>
        <v>-0.35714285714285715</v>
      </c>
      <c r="I700" s="2" t="s">
        <v>46</v>
      </c>
    </row>
    <row r="702" spans="1:9" x14ac:dyDescent="0.25">
      <c r="A702" s="77" t="s">
        <v>203</v>
      </c>
      <c r="B702" s="11" t="s">
        <v>306</v>
      </c>
    </row>
    <row r="704" spans="1:9" x14ac:dyDescent="0.25">
      <c r="B704" s="2" t="s">
        <v>307</v>
      </c>
      <c r="D704" s="2" t="s">
        <v>308</v>
      </c>
      <c r="F704" s="80"/>
    </row>
    <row r="706" spans="1:9" x14ac:dyDescent="0.25">
      <c r="B706" s="2" t="s">
        <v>298</v>
      </c>
      <c r="H706" s="16">
        <f>H686</f>
        <v>7</v>
      </c>
      <c r="I706" s="2" t="s">
        <v>5</v>
      </c>
    </row>
    <row r="707" spans="1:9" x14ac:dyDescent="0.25">
      <c r="B707" s="2" t="s">
        <v>309</v>
      </c>
      <c r="H707" s="16">
        <f>H6-H634</f>
        <v>16</v>
      </c>
      <c r="I707" s="2" t="s">
        <v>5</v>
      </c>
    </row>
    <row r="708" spans="1:9" x14ac:dyDescent="0.25">
      <c r="B708" s="2" t="s">
        <v>297</v>
      </c>
      <c r="H708" s="9">
        <f>H673</f>
        <v>202.96931047361272</v>
      </c>
      <c r="I708" s="2" t="s">
        <v>5</v>
      </c>
    </row>
    <row r="709" spans="1:9" x14ac:dyDescent="0.25">
      <c r="B709" s="2" t="s">
        <v>310</v>
      </c>
      <c r="H709" s="9">
        <f>D649+E649+F649</f>
        <v>79.696839625858843</v>
      </c>
      <c r="I709" s="2" t="s">
        <v>5</v>
      </c>
    </row>
    <row r="710" spans="1:9" x14ac:dyDescent="0.25">
      <c r="B710" s="2" t="s">
        <v>307</v>
      </c>
      <c r="G710" s="64" t="s">
        <v>311</v>
      </c>
      <c r="H710" s="9">
        <f>19*((H706+H707)/H708)*SQRT(H707/H709)</f>
        <v>0.96469605392644264</v>
      </c>
      <c r="I710" s="2" t="s">
        <v>46</v>
      </c>
    </row>
    <row r="712" spans="1:9" x14ac:dyDescent="0.25">
      <c r="A712" s="77" t="s">
        <v>204</v>
      </c>
      <c r="B712" s="11" t="s">
        <v>312</v>
      </c>
    </row>
    <row r="714" spans="1:9" x14ac:dyDescent="0.25">
      <c r="B714" s="2" t="s">
        <v>313</v>
      </c>
      <c r="C714" s="80"/>
    </row>
    <row r="716" spans="1:9" x14ac:dyDescent="0.25">
      <c r="B716" s="5" t="str">
        <f>CONCATENATE("For 1:",D642," slope, Fs  (from slope correction curve)")</f>
        <v>For 1:4 slope, Fs  (from slope correction curve)</v>
      </c>
      <c r="C716" s="5"/>
      <c r="D716" s="5"/>
      <c r="E716" s="5"/>
      <c r="F716" s="5"/>
      <c r="G716" s="5"/>
      <c r="H716" s="5">
        <v>3.3</v>
      </c>
    </row>
    <row r="717" spans="1:9" ht="18.75" x14ac:dyDescent="0.35">
      <c r="B717" s="2" t="s">
        <v>435</v>
      </c>
      <c r="H717" s="9">
        <f>H709</f>
        <v>79.696839625858843</v>
      </c>
      <c r="I717" s="2" t="s">
        <v>5</v>
      </c>
    </row>
    <row r="718" spans="1:9" x14ac:dyDescent="0.25">
      <c r="B718" s="2" t="s">
        <v>436</v>
      </c>
      <c r="H718" s="9">
        <f>(E641-B642)*D642</f>
        <v>32.658227388772048</v>
      </c>
      <c r="I718" s="2" t="s">
        <v>5</v>
      </c>
    </row>
    <row r="719" spans="1:9" x14ac:dyDescent="0.25">
      <c r="B719" s="2" t="s">
        <v>313</v>
      </c>
      <c r="H719" s="12">
        <f>-H716*H718/H717</f>
        <v>-1.3522763372912903</v>
      </c>
    </row>
    <row r="720" spans="1:9" x14ac:dyDescent="0.25">
      <c r="B720" s="2" t="s">
        <v>96</v>
      </c>
    </row>
    <row r="721" spans="2:9" x14ac:dyDescent="0.25">
      <c r="B721" s="2" t="s">
        <v>314</v>
      </c>
      <c r="H721" s="9">
        <f>H693+H700</f>
        <v>68.642857142857139</v>
      </c>
      <c r="I721" s="2" t="s">
        <v>46</v>
      </c>
    </row>
    <row r="722" spans="2:9" x14ac:dyDescent="0.25">
      <c r="B722" s="2" t="s">
        <v>315</v>
      </c>
      <c r="H722" s="2">
        <f>H692</f>
        <v>70</v>
      </c>
      <c r="I722" s="2" t="s">
        <v>46</v>
      </c>
    </row>
    <row r="723" spans="2:9" x14ac:dyDescent="0.25">
      <c r="B723" s="2" t="s">
        <v>315</v>
      </c>
      <c r="H723" s="9">
        <f>H694+H698+H710+H719</f>
        <v>66.398134002349451</v>
      </c>
      <c r="I723" s="2" t="s">
        <v>46</v>
      </c>
    </row>
    <row r="725" spans="2:9" x14ac:dyDescent="0.25">
      <c r="B725" s="11" t="s">
        <v>316</v>
      </c>
    </row>
    <row r="727" spans="2:9" x14ac:dyDescent="0.25">
      <c r="B727" s="5" t="s">
        <v>317</v>
      </c>
      <c r="C727" s="5"/>
      <c r="D727" s="5"/>
      <c r="E727" s="5"/>
      <c r="F727" s="5"/>
      <c r="G727" s="5"/>
      <c r="H727" s="5">
        <v>10</v>
      </c>
      <c r="I727" s="5" t="s">
        <v>5</v>
      </c>
    </row>
    <row r="728" spans="2:9" x14ac:dyDescent="0.25">
      <c r="B728" s="2" t="s">
        <v>88</v>
      </c>
      <c r="H728" s="9">
        <v>575</v>
      </c>
      <c r="I728" s="2" t="s">
        <v>5</v>
      </c>
    </row>
    <row r="729" spans="2:9" x14ac:dyDescent="0.25">
      <c r="B729" s="2" t="s">
        <v>318</v>
      </c>
      <c r="H729" s="9">
        <v>563.5</v>
      </c>
      <c r="I729" s="2" t="s">
        <v>5</v>
      </c>
    </row>
    <row r="730" spans="2:9" x14ac:dyDescent="0.25">
      <c r="B730" s="2" t="s">
        <v>319</v>
      </c>
      <c r="H730" s="9">
        <f>H728-H729</f>
        <v>11.5</v>
      </c>
      <c r="I730" s="2" t="s">
        <v>5</v>
      </c>
    </row>
    <row r="731" spans="2:9" x14ac:dyDescent="0.25">
      <c r="B731" s="2" t="s">
        <v>297</v>
      </c>
      <c r="H731" s="9">
        <v>194.8</v>
      </c>
      <c r="I731" s="2" t="s">
        <v>5</v>
      </c>
    </row>
    <row r="732" spans="2:9" ht="18.75" x14ac:dyDescent="0.35">
      <c r="B732" s="2" t="s">
        <v>437</v>
      </c>
      <c r="H732" s="9">
        <f>73.55+50.25</f>
        <v>123.8</v>
      </c>
      <c r="I732" s="2" t="s">
        <v>5</v>
      </c>
    </row>
    <row r="733" spans="2:9" ht="18.75" x14ac:dyDescent="0.35">
      <c r="B733" s="2" t="s">
        <v>433</v>
      </c>
      <c r="H733" s="65">
        <f>H732/H731</f>
        <v>0.63552361396303891</v>
      </c>
    </row>
    <row r="734" spans="2:9" ht="18.75" x14ac:dyDescent="0.35">
      <c r="B734" s="2" t="s">
        <v>434</v>
      </c>
      <c r="H734" s="65">
        <f>1-H733</f>
        <v>0.36447638603696109</v>
      </c>
    </row>
    <row r="735" spans="2:9" x14ac:dyDescent="0.25">
      <c r="B735" s="2" t="s">
        <v>291</v>
      </c>
      <c r="H735" s="9">
        <f>H731/H730</f>
        <v>16.939130434782609</v>
      </c>
    </row>
    <row r="736" spans="2:9" x14ac:dyDescent="0.25">
      <c r="B736" s="125"/>
      <c r="C736" s="121" t="s">
        <v>300</v>
      </c>
      <c r="D736" s="5"/>
      <c r="E736" s="5"/>
      <c r="F736" s="77" t="s">
        <v>301</v>
      </c>
      <c r="G736" s="62">
        <v>56</v>
      </c>
      <c r="H736" s="2">
        <f>100-G736</f>
        <v>44</v>
      </c>
      <c r="I736" s="5" t="s">
        <v>46</v>
      </c>
    </row>
    <row r="737" spans="1:9" x14ac:dyDescent="0.25">
      <c r="B737" s="125"/>
      <c r="C737" s="121" t="s">
        <v>300</v>
      </c>
      <c r="D737" s="5"/>
      <c r="E737" s="5"/>
      <c r="F737" s="77"/>
      <c r="G737" s="62"/>
      <c r="H737" s="2">
        <v>42.5</v>
      </c>
      <c r="I737" s="5" t="s">
        <v>46</v>
      </c>
    </row>
    <row r="738" spans="1:9" x14ac:dyDescent="0.25">
      <c r="B738" s="125"/>
      <c r="C738" s="121" t="s">
        <v>300</v>
      </c>
      <c r="D738" s="5"/>
      <c r="E738" s="5"/>
      <c r="F738" s="5"/>
      <c r="G738" s="5"/>
      <c r="H738" s="5">
        <v>38.5</v>
      </c>
      <c r="I738" s="5" t="s">
        <v>46</v>
      </c>
    </row>
    <row r="740" spans="1:9" x14ac:dyDescent="0.25">
      <c r="A740" s="77" t="s">
        <v>202</v>
      </c>
      <c r="B740" s="11" t="s">
        <v>320</v>
      </c>
    </row>
    <row r="742" spans="1:9" x14ac:dyDescent="0.25">
      <c r="B742" s="2" t="s">
        <v>307</v>
      </c>
      <c r="C742" s="80"/>
      <c r="H742" s="2">
        <f>-H727/H730*(H736-H737)</f>
        <v>-1.3043478260869565</v>
      </c>
      <c r="I742" s="2" t="s">
        <v>46</v>
      </c>
    </row>
    <row r="743" spans="1:9" x14ac:dyDescent="0.25">
      <c r="C743" s="80"/>
    </row>
    <row r="744" spans="1:9" x14ac:dyDescent="0.25">
      <c r="B744" s="2" t="s">
        <v>307</v>
      </c>
      <c r="C744" s="80"/>
      <c r="H744" s="9">
        <f>H727/H730*(H737-H738)</f>
        <v>3.4782608695652173</v>
      </c>
      <c r="I744" s="2" t="s">
        <v>46</v>
      </c>
    </row>
    <row r="746" spans="1:9" x14ac:dyDescent="0.25">
      <c r="A746" s="77" t="s">
        <v>203</v>
      </c>
      <c r="B746" s="11" t="s">
        <v>321</v>
      </c>
    </row>
    <row r="748" spans="1:9" x14ac:dyDescent="0.25">
      <c r="B748" s="2" t="s">
        <v>322</v>
      </c>
    </row>
    <row r="750" spans="1:9" x14ac:dyDescent="0.25">
      <c r="B750" s="2" t="s">
        <v>323</v>
      </c>
      <c r="H750" s="16">
        <f>H644-G648</f>
        <v>10.485019434830747</v>
      </c>
      <c r="I750" s="2" t="s">
        <v>5</v>
      </c>
    </row>
    <row r="751" spans="1:9" x14ac:dyDescent="0.25">
      <c r="B751" s="2" t="s">
        <v>324</v>
      </c>
      <c r="H751" s="9">
        <f>B642-G648</f>
        <v>16</v>
      </c>
      <c r="I751" s="2" t="s">
        <v>5</v>
      </c>
    </row>
    <row r="752" spans="1:9" x14ac:dyDescent="0.25">
      <c r="B752" s="2" t="s">
        <v>297</v>
      </c>
      <c r="H752" s="9">
        <f>H731</f>
        <v>194.8</v>
      </c>
      <c r="I752" s="2" t="s">
        <v>5</v>
      </c>
    </row>
    <row r="753" spans="1:9" x14ac:dyDescent="0.25">
      <c r="B753" s="2" t="s">
        <v>310</v>
      </c>
      <c r="H753" s="9">
        <f>D649+E649+F649</f>
        <v>79.696839625858843</v>
      </c>
      <c r="I753" s="2" t="s">
        <v>5</v>
      </c>
    </row>
    <row r="754" spans="1:9" x14ac:dyDescent="0.25">
      <c r="H754" s="9"/>
    </row>
    <row r="755" spans="1:9" x14ac:dyDescent="0.25">
      <c r="B755" s="2" t="s">
        <v>325</v>
      </c>
      <c r="H755" s="84">
        <f>-19*(H750+H751)/H752*SQRT(H751/H753)</f>
        <v>-1.1574557207823246</v>
      </c>
      <c r="I755" s="2" t="s">
        <v>46</v>
      </c>
    </row>
    <row r="757" spans="1:9" x14ac:dyDescent="0.25">
      <c r="B757" s="2" t="s">
        <v>326</v>
      </c>
    </row>
    <row r="758" spans="1:9" x14ac:dyDescent="0.25">
      <c r="B758" s="2" t="s">
        <v>323</v>
      </c>
      <c r="H758" s="9">
        <f>H644-G648</f>
        <v>10.485019434830747</v>
      </c>
      <c r="I758" s="2" t="s">
        <v>5</v>
      </c>
    </row>
    <row r="759" spans="1:9" x14ac:dyDescent="0.25">
      <c r="B759" s="2" t="s">
        <v>327</v>
      </c>
      <c r="H759" s="126">
        <f>H644-I649</f>
        <v>26.485019434830747</v>
      </c>
      <c r="I759" s="2" t="s">
        <v>5</v>
      </c>
    </row>
    <row r="760" spans="1:9" x14ac:dyDescent="0.25">
      <c r="B760" s="2" t="s">
        <v>297</v>
      </c>
      <c r="H760" s="9">
        <f>H752</f>
        <v>194.8</v>
      </c>
      <c r="I760" s="2" t="s">
        <v>5</v>
      </c>
    </row>
    <row r="761" spans="1:9" x14ac:dyDescent="0.25">
      <c r="B761" s="2" t="s">
        <v>310</v>
      </c>
      <c r="H761" s="9">
        <f>H646</f>
        <v>76</v>
      </c>
      <c r="I761" s="2" t="s">
        <v>5</v>
      </c>
    </row>
    <row r="763" spans="1:9" x14ac:dyDescent="0.25">
      <c r="B763" s="2" t="s">
        <v>328</v>
      </c>
      <c r="C763" s="80"/>
      <c r="H763" s="9">
        <f>19*(H758+H759)/H760*SQRT(H759/H761)</f>
        <v>2.1286678819716096</v>
      </c>
      <c r="I763" s="2" t="s">
        <v>46</v>
      </c>
    </row>
    <row r="765" spans="1:9" x14ac:dyDescent="0.25">
      <c r="A765" s="77" t="s">
        <v>204</v>
      </c>
      <c r="B765" s="11" t="s">
        <v>312</v>
      </c>
    </row>
    <row r="767" spans="1:9" ht="18.75" x14ac:dyDescent="0.35">
      <c r="B767" s="5" t="s">
        <v>438</v>
      </c>
      <c r="C767" s="5"/>
      <c r="D767" s="5"/>
      <c r="E767" s="5"/>
      <c r="F767" s="5"/>
      <c r="G767" s="5"/>
      <c r="H767" s="5">
        <v>4.5</v>
      </c>
    </row>
    <row r="768" spans="1:9" ht="18.75" x14ac:dyDescent="0.35">
      <c r="B768" s="2" t="s">
        <v>439</v>
      </c>
      <c r="C768" s="80"/>
      <c r="D768" s="80"/>
      <c r="H768" s="9">
        <f>(E641-H644)*G643</f>
        <v>41.038612237086795</v>
      </c>
      <c r="I768" s="2" t="s">
        <v>5</v>
      </c>
    </row>
    <row r="769" spans="2:9" ht="18.75" x14ac:dyDescent="0.35">
      <c r="B769" s="2" t="s">
        <v>435</v>
      </c>
      <c r="H769" s="9">
        <f>D649+E649+F649</f>
        <v>79.696839625858843</v>
      </c>
      <c r="I769" s="2" t="s">
        <v>5</v>
      </c>
    </row>
    <row r="771" spans="2:9" x14ac:dyDescent="0.25">
      <c r="B771" s="2" t="s">
        <v>304</v>
      </c>
      <c r="H771" s="9">
        <f>H767*H768/H769</f>
        <v>2.3172029899033837</v>
      </c>
      <c r="I771" s="2" t="s">
        <v>46</v>
      </c>
    </row>
    <row r="773" spans="2:9" x14ac:dyDescent="0.25">
      <c r="B773" s="2" t="s">
        <v>96</v>
      </c>
    </row>
    <row r="774" spans="2:9" x14ac:dyDescent="0.25">
      <c r="B774" s="2" t="s">
        <v>329</v>
      </c>
      <c r="H774" s="9">
        <f>H736+H742+H755+H771</f>
        <v>43.855399443034109</v>
      </c>
      <c r="I774" s="2" t="s">
        <v>46</v>
      </c>
    </row>
    <row r="775" spans="2:9" x14ac:dyDescent="0.25">
      <c r="B775" s="2" t="s">
        <v>329</v>
      </c>
      <c r="D775" s="80"/>
      <c r="H775" s="2">
        <f>H737</f>
        <v>42.5</v>
      </c>
      <c r="I775" s="2" t="s">
        <v>46</v>
      </c>
    </row>
    <row r="776" spans="2:9" x14ac:dyDescent="0.25">
      <c r="B776" s="2" t="s">
        <v>329</v>
      </c>
      <c r="H776" s="9">
        <f>H738+H744+H763</f>
        <v>44.106928751536827</v>
      </c>
      <c r="I776" s="2" t="s">
        <v>46</v>
      </c>
    </row>
    <row r="777" spans="2:9" x14ac:dyDescent="0.25">
      <c r="E777" s="80"/>
    </row>
    <row r="778" spans="2:9" x14ac:dyDescent="0.25">
      <c r="B778" s="11" t="s">
        <v>330</v>
      </c>
    </row>
    <row r="780" spans="2:9" x14ac:dyDescent="0.25">
      <c r="B780" s="5" t="s">
        <v>317</v>
      </c>
      <c r="C780" s="5"/>
      <c r="D780" s="5"/>
      <c r="E780" s="5"/>
      <c r="F780" s="5"/>
      <c r="G780" s="5"/>
      <c r="H780" s="5">
        <v>7</v>
      </c>
      <c r="I780" s="5" t="s">
        <v>5</v>
      </c>
    </row>
    <row r="781" spans="2:9" x14ac:dyDescent="0.25">
      <c r="B781" s="2" t="s">
        <v>331</v>
      </c>
      <c r="H781" s="9">
        <f>H644-I649</f>
        <v>26.485019434830747</v>
      </c>
      <c r="I781" s="2" t="s">
        <v>5</v>
      </c>
    </row>
    <row r="782" spans="2:9" x14ac:dyDescent="0.25">
      <c r="B782" s="2" t="s">
        <v>297</v>
      </c>
      <c r="H782" s="9">
        <f>H760</f>
        <v>194.8</v>
      </c>
      <c r="I782" s="2" t="s">
        <v>5</v>
      </c>
    </row>
    <row r="783" spans="2:9" x14ac:dyDescent="0.25">
      <c r="B783" s="2" t="s">
        <v>432</v>
      </c>
      <c r="H783" s="65">
        <f>H781/H782</f>
        <v>0.13596005870036318</v>
      </c>
    </row>
    <row r="784" spans="2:9" x14ac:dyDescent="0.25">
      <c r="B784" s="125"/>
      <c r="C784" s="121" t="s">
        <v>300</v>
      </c>
      <c r="D784" s="5"/>
      <c r="E784" s="5"/>
      <c r="F784" s="77" t="s">
        <v>301</v>
      </c>
      <c r="G784" s="62">
        <v>68</v>
      </c>
      <c r="H784" s="2">
        <f>100-G784</f>
        <v>32</v>
      </c>
      <c r="I784" s="5" t="s">
        <v>46</v>
      </c>
    </row>
    <row r="785" spans="1:9" x14ac:dyDescent="0.25">
      <c r="B785" s="125"/>
      <c r="C785" s="121" t="s">
        <v>300</v>
      </c>
      <c r="D785" s="5"/>
      <c r="E785" s="5"/>
      <c r="F785" s="77" t="s">
        <v>301</v>
      </c>
      <c r="G785" s="62">
        <v>78</v>
      </c>
      <c r="H785" s="2">
        <f>100-G785</f>
        <v>22</v>
      </c>
      <c r="I785" s="5" t="s">
        <v>46</v>
      </c>
    </row>
    <row r="786" spans="1:9" x14ac:dyDescent="0.25">
      <c r="B786" s="125"/>
      <c r="C786" s="121" t="s">
        <v>300</v>
      </c>
      <c r="D786" s="5"/>
      <c r="E786" s="5"/>
      <c r="F786" s="5"/>
      <c r="G786" s="5"/>
      <c r="H786" s="5">
        <v>0</v>
      </c>
      <c r="I786" s="5" t="s">
        <v>46</v>
      </c>
    </row>
    <row r="788" spans="1:9" x14ac:dyDescent="0.25">
      <c r="A788" s="77" t="s">
        <v>202</v>
      </c>
      <c r="B788" s="11" t="s">
        <v>320</v>
      </c>
    </row>
    <row r="790" spans="1:9" x14ac:dyDescent="0.25">
      <c r="B790" s="2" t="s">
        <v>307</v>
      </c>
      <c r="C790" s="80"/>
      <c r="H790" s="9">
        <f>-H780/H781*(H784-H785)</f>
        <v>-2.6430035353473147</v>
      </c>
      <c r="I790" s="2" t="s">
        <v>46</v>
      </c>
    </row>
    <row r="791" spans="1:9" x14ac:dyDescent="0.25">
      <c r="B791" s="2" t="s">
        <v>307</v>
      </c>
      <c r="C791" s="80"/>
      <c r="H791" s="84">
        <f>H780/H781*(H785-H786)</f>
        <v>5.8146077777640919</v>
      </c>
      <c r="I791" s="2" t="s">
        <v>46</v>
      </c>
    </row>
    <row r="793" spans="1:9" x14ac:dyDescent="0.25">
      <c r="A793" s="77" t="s">
        <v>203</v>
      </c>
      <c r="B793" s="11" t="s">
        <v>332</v>
      </c>
    </row>
    <row r="795" spans="1:9" x14ac:dyDescent="0.25">
      <c r="B795" s="2" t="s">
        <v>307</v>
      </c>
    </row>
    <row r="796" spans="1:9" x14ac:dyDescent="0.25">
      <c r="B796" s="2" t="s">
        <v>333</v>
      </c>
      <c r="H796" s="9">
        <f>H644-I649</f>
        <v>26.485019434830747</v>
      </c>
      <c r="I796" s="2" t="s">
        <v>5</v>
      </c>
    </row>
    <row r="797" spans="1:9" x14ac:dyDescent="0.25">
      <c r="B797" s="2" t="s">
        <v>334</v>
      </c>
      <c r="H797" s="9">
        <f>H644-G648</f>
        <v>10.485019434830747</v>
      </c>
      <c r="I797" s="2" t="s">
        <v>5</v>
      </c>
    </row>
    <row r="798" spans="1:9" x14ac:dyDescent="0.25">
      <c r="B798" s="2" t="s">
        <v>297</v>
      </c>
      <c r="H798" s="9">
        <f>H782</f>
        <v>194.8</v>
      </c>
      <c r="I798" s="2" t="s">
        <v>5</v>
      </c>
    </row>
    <row r="799" spans="1:9" x14ac:dyDescent="0.25">
      <c r="B799" s="2" t="s">
        <v>310</v>
      </c>
      <c r="H799" s="9">
        <f>H646</f>
        <v>76</v>
      </c>
      <c r="I799" s="2" t="s">
        <v>5</v>
      </c>
    </row>
    <row r="801" spans="2:9" x14ac:dyDescent="0.25">
      <c r="B801" s="2" t="s">
        <v>335</v>
      </c>
      <c r="H801" s="9">
        <f>-19*(H796+H797)/H798*SQRT(H797/H799)</f>
        <v>-1.3393447490426751</v>
      </c>
      <c r="I801" s="2" t="s">
        <v>46</v>
      </c>
    </row>
    <row r="803" spans="2:9" x14ac:dyDescent="0.25">
      <c r="B803" s="2" t="s">
        <v>54</v>
      </c>
    </row>
    <row r="804" spans="2:9" x14ac:dyDescent="0.25">
      <c r="B804" s="2" t="s">
        <v>315</v>
      </c>
      <c r="H804" s="9">
        <f>H784+H790+H801</f>
        <v>28.017651715610011</v>
      </c>
      <c r="I804" s="2" t="s">
        <v>46</v>
      </c>
    </row>
    <row r="805" spans="2:9" x14ac:dyDescent="0.25">
      <c r="B805" s="2" t="s">
        <v>315</v>
      </c>
      <c r="H805" s="2">
        <f>H785</f>
        <v>22</v>
      </c>
      <c r="I805" s="2" t="s">
        <v>46</v>
      </c>
    </row>
    <row r="806" spans="2:9" x14ac:dyDescent="0.25">
      <c r="B806" s="2" t="s">
        <v>315</v>
      </c>
      <c r="H806" s="9">
        <f>H786+H791</f>
        <v>5.8146077777640919</v>
      </c>
      <c r="I806" s="2" t="s">
        <v>46</v>
      </c>
    </row>
    <row r="808" spans="2:9" x14ac:dyDescent="0.25">
      <c r="C808" s="80"/>
    </row>
    <row r="809" spans="2:9" x14ac:dyDescent="0.25">
      <c r="B809" s="11" t="s">
        <v>336</v>
      </c>
    </row>
    <row r="810" spans="2:9" ht="16.5" thickBot="1" x14ac:dyDescent="0.3"/>
    <row r="811" spans="2:9" x14ac:dyDescent="0.25">
      <c r="B811" s="242" t="s">
        <v>337</v>
      </c>
      <c r="C811" s="243"/>
      <c r="D811" s="236" t="s">
        <v>338</v>
      </c>
      <c r="E811" s="243"/>
      <c r="F811" s="236" t="s">
        <v>339</v>
      </c>
      <c r="G811" s="243"/>
      <c r="H811" s="236" t="s">
        <v>340</v>
      </c>
      <c r="I811" s="237"/>
    </row>
    <row r="812" spans="2:9" x14ac:dyDescent="0.25">
      <c r="B812" s="238" t="s">
        <v>341</v>
      </c>
      <c r="C812" s="239"/>
      <c r="D812" s="240" t="s">
        <v>342</v>
      </c>
      <c r="E812" s="239"/>
      <c r="F812" s="240" t="s">
        <v>343</v>
      </c>
      <c r="G812" s="239"/>
      <c r="H812" s="240" t="s">
        <v>343</v>
      </c>
      <c r="I812" s="241"/>
    </row>
    <row r="813" spans="2:9" x14ac:dyDescent="0.25">
      <c r="B813" s="244"/>
      <c r="C813" s="245"/>
      <c r="D813" s="206" t="s">
        <v>299</v>
      </c>
      <c r="E813" s="207" t="str">
        <f>CONCATENATE(ROUND(H721,2),"%")</f>
        <v>68.64%</v>
      </c>
      <c r="F813" s="208" t="s">
        <v>299</v>
      </c>
      <c r="G813" s="207" t="str">
        <f>CONCATENATE(ROUND(H774,2),"%")</f>
        <v>43.86%</v>
      </c>
      <c r="H813" s="208" t="s">
        <v>299</v>
      </c>
      <c r="I813" s="209" t="str">
        <f>CONCATENATE(ROUND(H804,2),"%")</f>
        <v>28.02%</v>
      </c>
    </row>
    <row r="814" spans="2:9" x14ac:dyDescent="0.25">
      <c r="B814" s="244"/>
      <c r="C814" s="245"/>
      <c r="D814" s="206" t="s">
        <v>299</v>
      </c>
      <c r="E814" s="207" t="str">
        <f>CONCATENATE(ROUND(H722,2),"%")</f>
        <v>70%</v>
      </c>
      <c r="F814" s="208" t="s">
        <v>299</v>
      </c>
      <c r="G814" s="207" t="str">
        <f>CONCATENATE(ROUND(H775,2),"%")</f>
        <v>42.5%</v>
      </c>
      <c r="H814" s="208" t="s">
        <v>299</v>
      </c>
      <c r="I814" s="209" t="str">
        <f>CONCATENATE(ROUND(H805,2),"%")</f>
        <v>22%</v>
      </c>
    </row>
    <row r="815" spans="2:9" ht="16.5" thickBot="1" x14ac:dyDescent="0.3">
      <c r="B815" s="246"/>
      <c r="C815" s="247"/>
      <c r="D815" s="210" t="s">
        <v>299</v>
      </c>
      <c r="E815" s="211" t="str">
        <f>CONCATENATE(ROUND(H723,2),"%")</f>
        <v>66.4%</v>
      </c>
      <c r="F815" s="212" t="s">
        <v>299</v>
      </c>
      <c r="G815" s="211" t="str">
        <f>CONCATENATE(ROUND(H776,2),"%")</f>
        <v>44.11%</v>
      </c>
      <c r="H815" s="212" t="s">
        <v>299</v>
      </c>
      <c r="I815" s="213" t="str">
        <f>CONCATENATE(ROUND(H806,2),"%")</f>
        <v>5.81%</v>
      </c>
    </row>
    <row r="816" spans="2:9" x14ac:dyDescent="0.25">
      <c r="E816" s="80"/>
    </row>
    <row r="817" spans="1:9" x14ac:dyDescent="0.25">
      <c r="B817" s="4" t="s">
        <v>344</v>
      </c>
    </row>
    <row r="818" spans="1:9" x14ac:dyDescent="0.25">
      <c r="E818" s="77"/>
    </row>
    <row r="819" spans="1:9" x14ac:dyDescent="0.25">
      <c r="C819" s="80"/>
    </row>
    <row r="821" spans="1:9" x14ac:dyDescent="0.25">
      <c r="B821" s="2" t="s">
        <v>345</v>
      </c>
    </row>
    <row r="822" spans="1:9" ht="18.75" x14ac:dyDescent="0.35">
      <c r="B822" s="2" t="s">
        <v>440</v>
      </c>
    </row>
    <row r="823" spans="1:9" x14ac:dyDescent="0.25">
      <c r="B823" s="80" t="s">
        <v>441</v>
      </c>
    </row>
    <row r="824" spans="1:9" x14ac:dyDescent="0.25">
      <c r="B824" s="2" t="s">
        <v>346</v>
      </c>
    </row>
    <row r="825" spans="1:9" x14ac:dyDescent="0.25">
      <c r="B825" s="5" t="s">
        <v>347</v>
      </c>
      <c r="C825" s="5"/>
      <c r="D825" s="5"/>
      <c r="E825" s="5"/>
      <c r="F825" s="5"/>
      <c r="G825" s="5"/>
      <c r="H825" s="5">
        <v>2.4</v>
      </c>
    </row>
    <row r="827" spans="1:9" x14ac:dyDescent="0.25">
      <c r="A827" s="77" t="s">
        <v>125</v>
      </c>
      <c r="B827" s="11" t="s">
        <v>348</v>
      </c>
    </row>
    <row r="828" spans="1:9" x14ac:dyDescent="0.25">
      <c r="A828" s="77"/>
    </row>
    <row r="829" spans="1:9" x14ac:dyDescent="0.25">
      <c r="A829" s="77"/>
      <c r="B829" s="5" t="s">
        <v>349</v>
      </c>
      <c r="C829" s="5"/>
      <c r="D829" s="5"/>
      <c r="E829" s="5"/>
      <c r="F829" s="5"/>
      <c r="G829" s="5"/>
      <c r="H829" s="5">
        <v>2.5</v>
      </c>
      <c r="I829" s="5" t="s">
        <v>5</v>
      </c>
    </row>
    <row r="830" spans="1:9" x14ac:dyDescent="0.25">
      <c r="A830" s="77"/>
      <c r="B830" s="7" t="s">
        <v>350</v>
      </c>
      <c r="C830" s="7"/>
      <c r="D830" s="7"/>
      <c r="E830" s="7"/>
      <c r="F830" s="7"/>
      <c r="G830" s="7"/>
      <c r="H830" s="59">
        <f>C638-H644</f>
        <v>27.514980565169253</v>
      </c>
      <c r="I830" s="7" t="s">
        <v>5</v>
      </c>
    </row>
    <row r="831" spans="1:9" x14ac:dyDescent="0.25">
      <c r="A831" s="77"/>
      <c r="B831" s="2" t="s">
        <v>351</v>
      </c>
      <c r="H831" s="12">
        <f>(H721)*H830/(100*(H825-1))</f>
        <v>13.490763430167169</v>
      </c>
      <c r="I831" s="2" t="s">
        <v>5</v>
      </c>
    </row>
    <row r="832" spans="1:9" x14ac:dyDescent="0.25">
      <c r="A832" s="77"/>
      <c r="G832" s="63" t="s">
        <v>352</v>
      </c>
      <c r="H832" s="12">
        <f>ROUNDUP(H831,0)</f>
        <v>14</v>
      </c>
      <c r="I832" s="11" t="s">
        <v>5</v>
      </c>
    </row>
    <row r="833" spans="1:9" x14ac:dyDescent="0.25">
      <c r="A833" s="77" t="s">
        <v>120</v>
      </c>
      <c r="B833" s="11" t="s">
        <v>353</v>
      </c>
    </row>
    <row r="834" spans="1:9" x14ac:dyDescent="0.25">
      <c r="A834" s="77"/>
      <c r="B834" s="5" t="s">
        <v>349</v>
      </c>
      <c r="C834" s="5"/>
      <c r="D834" s="5"/>
      <c r="E834" s="5"/>
      <c r="F834" s="5"/>
      <c r="G834" s="5"/>
      <c r="H834" s="5">
        <v>10</v>
      </c>
      <c r="I834" s="5" t="s">
        <v>5</v>
      </c>
    </row>
    <row r="835" spans="1:9" x14ac:dyDescent="0.25">
      <c r="A835" s="77"/>
      <c r="B835" s="2" t="s">
        <v>351</v>
      </c>
      <c r="H835" s="9">
        <f>(H774*H830/100/(H825-1))</f>
        <v>8.6191461668058427</v>
      </c>
      <c r="I835" s="2" t="s">
        <v>5</v>
      </c>
    </row>
    <row r="836" spans="1:9" x14ac:dyDescent="0.25">
      <c r="G836" s="63" t="s">
        <v>352</v>
      </c>
      <c r="H836" s="12">
        <f>ROUNDUP(H835,0)</f>
        <v>9</v>
      </c>
      <c r="I836" s="11" t="s">
        <v>5</v>
      </c>
    </row>
    <row r="837" spans="1:9" x14ac:dyDescent="0.25">
      <c r="A837" s="77" t="s">
        <v>354</v>
      </c>
      <c r="B837" s="11" t="s">
        <v>355</v>
      </c>
      <c r="G837" s="63"/>
      <c r="H837" s="12"/>
      <c r="I837" s="11"/>
    </row>
    <row r="838" spans="1:9" x14ac:dyDescent="0.25">
      <c r="A838" s="77"/>
      <c r="B838" s="5" t="s">
        <v>349</v>
      </c>
      <c r="C838" s="5"/>
      <c r="D838" s="5"/>
      <c r="E838" s="5"/>
      <c r="F838" s="5"/>
      <c r="G838" s="5"/>
      <c r="H838" s="5">
        <v>10</v>
      </c>
      <c r="I838" s="5" t="s">
        <v>5</v>
      </c>
    </row>
    <row r="839" spans="1:9" x14ac:dyDescent="0.25">
      <c r="A839" s="77"/>
      <c r="B839" s="2" t="s">
        <v>351</v>
      </c>
      <c r="H839" s="9">
        <f>H776*H830/100/(H825-1)</f>
        <v>8.6685806241988619</v>
      </c>
      <c r="I839" s="2" t="s">
        <v>5</v>
      </c>
    </row>
    <row r="840" spans="1:9" x14ac:dyDescent="0.25">
      <c r="A840" s="77"/>
      <c r="G840" s="63" t="s">
        <v>352</v>
      </c>
      <c r="H840" s="12">
        <f>ROUNDUP(H839,0)</f>
        <v>9</v>
      </c>
      <c r="I840" s="11" t="s">
        <v>5</v>
      </c>
    </row>
    <row r="841" spans="1:9" x14ac:dyDescent="0.25">
      <c r="A841" s="77" t="s">
        <v>356</v>
      </c>
      <c r="B841" s="11" t="s">
        <v>357</v>
      </c>
    </row>
    <row r="842" spans="1:9" x14ac:dyDescent="0.25">
      <c r="A842" s="77"/>
      <c r="B842" s="5" t="s">
        <v>349</v>
      </c>
      <c r="C842" s="5"/>
      <c r="D842" s="5"/>
      <c r="E842" s="5"/>
      <c r="F842" s="5"/>
      <c r="G842" s="5"/>
      <c r="H842" s="5">
        <v>7</v>
      </c>
      <c r="I842" s="5" t="s">
        <v>5</v>
      </c>
    </row>
    <row r="843" spans="1:9" x14ac:dyDescent="0.25">
      <c r="A843" s="77"/>
      <c r="B843" s="2" t="s">
        <v>351</v>
      </c>
      <c r="H843" s="9">
        <f>H804*H830/100/(H825-1)</f>
        <v>5.5064653031192172</v>
      </c>
      <c r="I843" s="2" t="s">
        <v>5</v>
      </c>
    </row>
    <row r="844" spans="1:9" x14ac:dyDescent="0.25">
      <c r="A844" s="77"/>
      <c r="G844" s="63" t="s">
        <v>352</v>
      </c>
      <c r="H844" s="12">
        <f>ROUNDUP(H843,0)</f>
        <v>6</v>
      </c>
      <c r="I844" s="11" t="s">
        <v>5</v>
      </c>
    </row>
    <row r="845" spans="1:9" x14ac:dyDescent="0.25">
      <c r="A845" s="77" t="s">
        <v>358</v>
      </c>
      <c r="B845" s="11" t="s">
        <v>359</v>
      </c>
    </row>
    <row r="846" spans="1:9" x14ac:dyDescent="0.25">
      <c r="A846" s="77"/>
    </row>
    <row r="847" spans="1:9" x14ac:dyDescent="0.25">
      <c r="A847" s="77"/>
    </row>
    <row r="848" spans="1:9" x14ac:dyDescent="0.25">
      <c r="A848" s="77"/>
    </row>
    <row r="849" spans="1:9" x14ac:dyDescent="0.25">
      <c r="A849" s="77"/>
    </row>
    <row r="850" spans="1:9" x14ac:dyDescent="0.25">
      <c r="A850" s="77"/>
    </row>
    <row r="851" spans="1:9" x14ac:dyDescent="0.25">
      <c r="A851" s="77"/>
    </row>
    <row r="852" spans="1:9" x14ac:dyDescent="0.25">
      <c r="A852" s="77"/>
    </row>
    <row r="853" spans="1:9" x14ac:dyDescent="0.25">
      <c r="A853" s="77"/>
    </row>
    <row r="854" spans="1:9" x14ac:dyDescent="0.25">
      <c r="A854" s="77"/>
    </row>
    <row r="855" spans="1:9" x14ac:dyDescent="0.25">
      <c r="A855" s="77"/>
    </row>
    <row r="856" spans="1:9" x14ac:dyDescent="0.25">
      <c r="A856" s="77"/>
      <c r="I856" s="80"/>
    </row>
    <row r="857" spans="1:9" x14ac:dyDescent="0.25">
      <c r="A857" s="77"/>
      <c r="H857" s="80"/>
    </row>
    <row r="858" spans="1:9" x14ac:dyDescent="0.25">
      <c r="A858" s="77"/>
    </row>
    <row r="859" spans="1:9" x14ac:dyDescent="0.25">
      <c r="A859" s="77"/>
    </row>
    <row r="860" spans="1:9" x14ac:dyDescent="0.25">
      <c r="A860" s="77"/>
    </row>
    <row r="861" spans="1:9" x14ac:dyDescent="0.25">
      <c r="A861" s="77"/>
    </row>
    <row r="862" spans="1:9" x14ac:dyDescent="0.25">
      <c r="A862" s="77"/>
      <c r="B862" s="2" t="s">
        <v>360</v>
      </c>
      <c r="H862" s="9">
        <f>H774+(H723-H774)/(D649+E649+F649)*F649</f>
        <v>55.463419870021632</v>
      </c>
      <c r="I862" s="2" t="s">
        <v>46</v>
      </c>
    </row>
    <row r="863" spans="1:9" x14ac:dyDescent="0.25">
      <c r="A863" s="77"/>
      <c r="B863" s="2" t="s">
        <v>54</v>
      </c>
      <c r="D863" s="80"/>
      <c r="H863" s="9"/>
    </row>
    <row r="864" spans="1:9" x14ac:dyDescent="0.25">
      <c r="A864" s="77"/>
      <c r="B864" s="2" t="s">
        <v>361</v>
      </c>
      <c r="H864" s="9">
        <f>H862*H830/100/(H825-1)</f>
        <v>10.900535141439054</v>
      </c>
      <c r="I864" s="2" t="s">
        <v>5</v>
      </c>
    </row>
    <row r="865" spans="1:9" x14ac:dyDescent="0.25">
      <c r="A865" s="77"/>
      <c r="G865" s="63" t="s">
        <v>352</v>
      </c>
      <c r="H865" s="11">
        <f>ROUNDUP(H864,0)</f>
        <v>11</v>
      </c>
      <c r="I865" s="11" t="s">
        <v>5</v>
      </c>
    </row>
    <row r="866" spans="1:9" x14ac:dyDescent="0.25">
      <c r="A866" s="77"/>
    </row>
    <row r="867" spans="1:9" x14ac:dyDescent="0.25">
      <c r="A867" s="77"/>
    </row>
    <row r="868" spans="1:9" x14ac:dyDescent="0.25">
      <c r="A868" s="77"/>
    </row>
    <row r="869" spans="1:9" x14ac:dyDescent="0.25">
      <c r="A869" s="77"/>
    </row>
    <row r="870" spans="1:9" x14ac:dyDescent="0.25">
      <c r="A870" s="77"/>
    </row>
    <row r="871" spans="1:9" x14ac:dyDescent="0.25">
      <c r="A871" s="77"/>
    </row>
    <row r="872" spans="1:9" x14ac:dyDescent="0.25">
      <c r="A872" s="77"/>
    </row>
    <row r="873" spans="1:9" x14ac:dyDescent="0.25">
      <c r="A873" s="77"/>
    </row>
    <row r="874" spans="1:9" x14ac:dyDescent="0.25">
      <c r="A874" s="77"/>
    </row>
    <row r="875" spans="1:9" x14ac:dyDescent="0.25">
      <c r="A875" s="77"/>
    </row>
    <row r="876" spans="1:9" x14ac:dyDescent="0.25">
      <c r="A876" s="77"/>
    </row>
    <row r="877" spans="1:9" x14ac:dyDescent="0.25">
      <c r="A877" s="77"/>
    </row>
    <row r="878" spans="1:9" x14ac:dyDescent="0.25">
      <c r="A878" s="77"/>
    </row>
    <row r="879" spans="1:9" x14ac:dyDescent="0.25">
      <c r="A879" s="77"/>
    </row>
    <row r="880" spans="1:9" x14ac:dyDescent="0.25">
      <c r="A880" s="77"/>
    </row>
    <row r="881" spans="1:1" x14ac:dyDescent="0.25">
      <c r="A881" s="77"/>
    </row>
    <row r="882" spans="1:1" x14ac:dyDescent="0.25">
      <c r="A882" s="77"/>
    </row>
    <row r="883" spans="1:1" x14ac:dyDescent="0.25">
      <c r="A883" s="77"/>
    </row>
    <row r="884" spans="1:1" x14ac:dyDescent="0.25">
      <c r="A884" s="77"/>
    </row>
    <row r="885" spans="1:1" x14ac:dyDescent="0.25">
      <c r="A885" s="77"/>
    </row>
    <row r="886" spans="1:1" x14ac:dyDescent="0.25">
      <c r="A886" s="77"/>
    </row>
    <row r="887" spans="1:1" x14ac:dyDescent="0.25">
      <c r="A887" s="77"/>
    </row>
    <row r="888" spans="1:1" x14ac:dyDescent="0.25">
      <c r="A888" s="77"/>
    </row>
    <row r="889" spans="1:1" x14ac:dyDescent="0.25">
      <c r="A889" s="77"/>
    </row>
    <row r="890" spans="1:1" x14ac:dyDescent="0.25">
      <c r="A890" s="77"/>
    </row>
    <row r="891" spans="1:1" x14ac:dyDescent="0.25">
      <c r="A891" s="77"/>
    </row>
    <row r="892" spans="1:1" x14ac:dyDescent="0.25">
      <c r="A892" s="77"/>
    </row>
    <row r="893" spans="1:1" x14ac:dyDescent="0.25">
      <c r="A893" s="77"/>
    </row>
    <row r="894" spans="1:1" x14ac:dyDescent="0.25">
      <c r="A894" s="77"/>
    </row>
    <row r="895" spans="1:1" x14ac:dyDescent="0.25">
      <c r="A895" s="77"/>
    </row>
    <row r="896" spans="1:1" x14ac:dyDescent="0.25">
      <c r="A896" s="77"/>
    </row>
    <row r="897" spans="1:1" x14ac:dyDescent="0.25">
      <c r="A897" s="77"/>
    </row>
    <row r="898" spans="1:1" x14ac:dyDescent="0.25">
      <c r="A898" s="77"/>
    </row>
    <row r="899" spans="1:1" x14ac:dyDescent="0.25">
      <c r="A899" s="77"/>
    </row>
    <row r="900" spans="1:1" x14ac:dyDescent="0.25">
      <c r="A900" s="77"/>
    </row>
    <row r="901" spans="1:1" x14ac:dyDescent="0.25">
      <c r="A901" s="77"/>
    </row>
    <row r="902" spans="1:1" x14ac:dyDescent="0.25">
      <c r="A902" s="77"/>
    </row>
    <row r="903" spans="1:1" x14ac:dyDescent="0.25">
      <c r="A903" s="77"/>
    </row>
    <row r="904" spans="1:1" x14ac:dyDescent="0.25">
      <c r="A904" s="77"/>
    </row>
    <row r="905" spans="1:1" x14ac:dyDescent="0.25">
      <c r="A905" s="77"/>
    </row>
    <row r="906" spans="1:1" x14ac:dyDescent="0.25">
      <c r="A906" s="77"/>
    </row>
    <row r="907" spans="1:1" x14ac:dyDescent="0.25">
      <c r="A907" s="77"/>
    </row>
    <row r="908" spans="1:1" x14ac:dyDescent="0.25">
      <c r="A908" s="77"/>
    </row>
    <row r="909" spans="1:1" x14ac:dyDescent="0.25">
      <c r="A909" s="77"/>
    </row>
    <row r="910" spans="1:1" x14ac:dyDescent="0.25">
      <c r="A910" s="77"/>
    </row>
    <row r="911" spans="1:1" x14ac:dyDescent="0.25">
      <c r="A911" s="77"/>
    </row>
    <row r="912" spans="1:1" x14ac:dyDescent="0.25">
      <c r="A912" s="77"/>
    </row>
    <row r="913" spans="1:1" x14ac:dyDescent="0.25">
      <c r="A913" s="77"/>
    </row>
    <row r="914" spans="1:1" x14ac:dyDescent="0.25">
      <c r="A914" s="77"/>
    </row>
    <row r="915" spans="1:1" x14ac:dyDescent="0.25">
      <c r="A915" s="77"/>
    </row>
    <row r="916" spans="1:1" x14ac:dyDescent="0.25">
      <c r="A916" s="77"/>
    </row>
    <row r="917" spans="1:1" x14ac:dyDescent="0.25">
      <c r="A917" s="77"/>
    </row>
    <row r="918" spans="1:1" x14ac:dyDescent="0.25">
      <c r="A918" s="77"/>
    </row>
    <row r="919" spans="1:1" x14ac:dyDescent="0.25">
      <c r="A919" s="77"/>
    </row>
    <row r="920" spans="1:1" x14ac:dyDescent="0.25">
      <c r="A920" s="77"/>
    </row>
    <row r="921" spans="1:1" x14ac:dyDescent="0.25">
      <c r="A921" s="77"/>
    </row>
    <row r="922" spans="1:1" x14ac:dyDescent="0.25">
      <c r="A922" s="77"/>
    </row>
    <row r="923" spans="1:1" x14ac:dyDescent="0.25">
      <c r="A923" s="77"/>
    </row>
    <row r="924" spans="1:1" x14ac:dyDescent="0.25">
      <c r="A924" s="77"/>
    </row>
  </sheetData>
  <mergeCells count="43">
    <mergeCell ref="B813:C813"/>
    <mergeCell ref="B814:C814"/>
    <mergeCell ref="B815:C815"/>
    <mergeCell ref="D811:E811"/>
    <mergeCell ref="F811:G811"/>
    <mergeCell ref="H811:I811"/>
    <mergeCell ref="B812:C812"/>
    <mergeCell ref="D812:E812"/>
    <mergeCell ref="F812:G812"/>
    <mergeCell ref="H812:I812"/>
    <mergeCell ref="B811:C811"/>
    <mergeCell ref="B433:C433"/>
    <mergeCell ref="B434:C434"/>
    <mergeCell ref="B435:C435"/>
    <mergeCell ref="B436:C436"/>
    <mergeCell ref="B437:C437"/>
    <mergeCell ref="V108:V110"/>
    <mergeCell ref="B432:C432"/>
    <mergeCell ref="D432:H432"/>
    <mergeCell ref="H303:I303"/>
    <mergeCell ref="J303:K303"/>
    <mergeCell ref="H304:I304"/>
    <mergeCell ref="J304:K304"/>
    <mergeCell ref="B312:D313"/>
    <mergeCell ref="B314:D315"/>
    <mergeCell ref="I324:J324"/>
    <mergeCell ref="I325:J325"/>
    <mergeCell ref="B333:D334"/>
    <mergeCell ref="B335:D336"/>
    <mergeCell ref="B431:C431"/>
    <mergeCell ref="U108:U110"/>
    <mergeCell ref="R109:R110"/>
    <mergeCell ref="T109:T110"/>
    <mergeCell ref="O108:O110"/>
    <mergeCell ref="P108:P110"/>
    <mergeCell ref="B1:J1"/>
    <mergeCell ref="B134:Q134"/>
    <mergeCell ref="Q108:Q110"/>
    <mergeCell ref="B136:Q136"/>
    <mergeCell ref="B138:Q138"/>
    <mergeCell ref="A111:T111"/>
    <mergeCell ref="A116:T116"/>
    <mergeCell ref="A120:T120"/>
  </mergeCells>
  <conditionalFormatting sqref="P135 P137 P139">
    <cfRule type="cellIs" dxfId="0" priority="2" stopIfTrue="1" operator="lessThan">
      <formula>$B$135</formula>
    </cfRule>
  </conditionalFormatting>
  <pageMargins left="0.7" right="0.7" top="0.75" bottom="0.75" header="0.3" footer="0.3"/>
  <pageSetup scale="10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" r:id="rId4">
          <objectPr defaultSize="0" autoPict="0" r:id="rId5">
            <anchor moveWithCells="1" sizeWithCells="1">
              <from>
                <xdr:col>1</xdr:col>
                <xdr:colOff>66675</xdr:colOff>
                <xdr:row>506</xdr:row>
                <xdr:rowOff>0</xdr:rowOff>
              </from>
              <to>
                <xdr:col>4</xdr:col>
                <xdr:colOff>657225</xdr:colOff>
                <xdr:row>508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3" r:id="rId6">
          <objectPr defaultSize="0" autoPict="0" r:id="rId5">
            <anchor moveWithCells="1" sizeWithCells="1">
              <from>
                <xdr:col>1</xdr:col>
                <xdr:colOff>123825</xdr:colOff>
                <xdr:row>587</xdr:row>
                <xdr:rowOff>76200</xdr:rowOff>
              </from>
              <to>
                <xdr:col>5</xdr:col>
                <xdr:colOff>9525</xdr:colOff>
                <xdr:row>589</xdr:row>
                <xdr:rowOff>161925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4" r:id="rId7">
          <objectPr defaultSize="0" autoPict="0" r:id="rId8">
            <anchor moveWithCells="1" sizeWithCells="1">
              <from>
                <xdr:col>4</xdr:col>
                <xdr:colOff>114300</xdr:colOff>
                <xdr:row>608</xdr:row>
                <xdr:rowOff>9525</xdr:rowOff>
              </from>
              <to>
                <xdr:col>4</xdr:col>
                <xdr:colOff>619125</xdr:colOff>
                <xdr:row>609</xdr:row>
                <xdr:rowOff>180975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5" r:id="rId9">
          <objectPr defaultSize="0" autoPict="0" r:id="rId10">
            <anchor moveWithCells="1" sizeWithCells="1">
              <from>
                <xdr:col>6</xdr:col>
                <xdr:colOff>123825</xdr:colOff>
                <xdr:row>608</xdr:row>
                <xdr:rowOff>9525</xdr:rowOff>
              </from>
              <to>
                <xdr:col>6</xdr:col>
                <xdr:colOff>628650</xdr:colOff>
                <xdr:row>609</xdr:row>
                <xdr:rowOff>180975</xdr:rowOff>
              </to>
            </anchor>
          </objectPr>
        </oleObject>
      </mc:Choice>
      <mc:Fallback>
        <oleObject progId="Equation.3" shapeId="1028" r:id="rId9"/>
      </mc:Fallback>
    </mc:AlternateContent>
    <mc:AlternateContent xmlns:mc="http://schemas.openxmlformats.org/markup-compatibility/2006">
      <mc:Choice Requires="x14">
        <oleObject progId="Equation.3" shapeId="6" r:id="rId11">
          <objectPr defaultSize="0" autoPict="0" r:id="rId12">
            <anchor moveWithCells="1" sizeWithCells="1">
              <from>
                <xdr:col>7</xdr:col>
                <xdr:colOff>57150</xdr:colOff>
                <xdr:row>608</xdr:row>
                <xdr:rowOff>9525</xdr:rowOff>
              </from>
              <to>
                <xdr:col>7</xdr:col>
                <xdr:colOff>590550</xdr:colOff>
                <xdr:row>609</xdr:row>
                <xdr:rowOff>180975</xdr:rowOff>
              </to>
            </anchor>
          </objectPr>
        </oleObject>
      </mc:Choice>
      <mc:Fallback>
        <oleObject progId="Equation.3" shapeId="1029" r:id="rId11"/>
      </mc:Fallback>
    </mc:AlternateContent>
    <mc:AlternateContent xmlns:mc="http://schemas.openxmlformats.org/markup-compatibility/2006">
      <mc:Choice Requires="x14">
        <oleObject progId="Equation.3" shapeId="7" r:id="rId13">
          <objectPr defaultSize="0" autoPict="0" r:id="rId14">
            <anchor moveWithCells="1" sizeWithCells="1">
              <from>
                <xdr:col>8</xdr:col>
                <xdr:colOff>38100</xdr:colOff>
                <xdr:row>608</xdr:row>
                <xdr:rowOff>19050</xdr:rowOff>
              </from>
              <to>
                <xdr:col>8</xdr:col>
                <xdr:colOff>581025</xdr:colOff>
                <xdr:row>610</xdr:row>
                <xdr:rowOff>38100</xdr:rowOff>
              </to>
            </anchor>
          </objectPr>
        </oleObject>
      </mc:Choice>
      <mc:Fallback>
        <oleObject progId="Equation.3" shapeId="1030" r:id="rId13"/>
      </mc:Fallback>
    </mc:AlternateContent>
    <mc:AlternateContent xmlns:mc="http://schemas.openxmlformats.org/markup-compatibility/2006">
      <mc:Choice Requires="x14">
        <oleObject progId="Equation.3" shapeId="8" r:id="rId15">
          <objectPr defaultSize="0" autoPict="0" r:id="rId16">
            <anchor moveWithCells="1" sizeWithCells="1">
              <from>
                <xdr:col>9</xdr:col>
                <xdr:colOff>28575</xdr:colOff>
                <xdr:row>608</xdr:row>
                <xdr:rowOff>9525</xdr:rowOff>
              </from>
              <to>
                <xdr:col>9</xdr:col>
                <xdr:colOff>609600</xdr:colOff>
                <xdr:row>610</xdr:row>
                <xdr:rowOff>28575</xdr:rowOff>
              </to>
            </anchor>
          </objectPr>
        </oleObject>
      </mc:Choice>
      <mc:Fallback>
        <oleObject progId="Equation.3" shapeId="1031" r:id="rId15"/>
      </mc:Fallback>
    </mc:AlternateContent>
    <mc:AlternateContent xmlns:mc="http://schemas.openxmlformats.org/markup-compatibility/2006">
      <mc:Choice Requires="x14">
        <oleObject progId="Equation.3" shapeId="9" r:id="rId17">
          <objectPr defaultSize="0" autoPict="0" r:id="rId18">
            <anchor moveWithCells="1" sizeWithCells="1">
              <from>
                <xdr:col>5</xdr:col>
                <xdr:colOff>76200</xdr:colOff>
                <xdr:row>607</xdr:row>
                <xdr:rowOff>190500</xdr:rowOff>
              </from>
              <to>
                <xdr:col>5</xdr:col>
                <xdr:colOff>581025</xdr:colOff>
                <xdr:row>610</xdr:row>
                <xdr:rowOff>0</xdr:rowOff>
              </to>
            </anchor>
          </objectPr>
        </oleObject>
      </mc:Choice>
      <mc:Fallback>
        <oleObject progId="Equation.3" shapeId="1032" r:id="rId17"/>
      </mc:Fallback>
    </mc:AlternateContent>
    <mc:AlternateContent xmlns:mc="http://schemas.openxmlformats.org/markup-compatibility/2006">
      <mc:Choice Requires="x14">
        <oleObject progId="Equation.3" shapeId="10" r:id="rId19">
          <objectPr defaultSize="0" autoPict="0" r:id="rId20">
            <anchor moveWithCells="1" sizeWithCells="1">
              <from>
                <xdr:col>10</xdr:col>
                <xdr:colOff>171450</xdr:colOff>
                <xdr:row>608</xdr:row>
                <xdr:rowOff>66675</xdr:rowOff>
              </from>
              <to>
                <xdr:col>10</xdr:col>
                <xdr:colOff>714375</xdr:colOff>
                <xdr:row>609</xdr:row>
                <xdr:rowOff>47625</xdr:rowOff>
              </to>
            </anchor>
          </objectPr>
        </oleObject>
      </mc:Choice>
      <mc:Fallback>
        <oleObject progId="Equation.3" shapeId="1033" r:id="rId19"/>
      </mc:Fallback>
    </mc:AlternateContent>
    <mc:AlternateContent xmlns:mc="http://schemas.openxmlformats.org/markup-compatibility/2006">
      <mc:Choice Requires="x14">
        <oleObject progId="Equation.3" shapeId="11" r:id="rId21">
          <objectPr defaultSize="0" autoPict="0" r:id="rId22">
            <anchor moveWithCells="1" sizeWithCells="1">
              <from>
                <xdr:col>2</xdr:col>
                <xdr:colOff>533400</xdr:colOff>
                <xdr:row>653</xdr:row>
                <xdr:rowOff>9525</xdr:rowOff>
              </from>
              <to>
                <xdr:col>4</xdr:col>
                <xdr:colOff>533400</xdr:colOff>
                <xdr:row>656</xdr:row>
                <xdr:rowOff>9525</xdr:rowOff>
              </to>
            </anchor>
          </objectPr>
        </oleObject>
      </mc:Choice>
      <mc:Fallback>
        <oleObject progId="Equation.3" shapeId="1034" r:id="rId21"/>
      </mc:Fallback>
    </mc:AlternateContent>
    <mc:AlternateContent xmlns:mc="http://schemas.openxmlformats.org/markup-compatibility/2006">
      <mc:Choice Requires="x14">
        <oleObject progId="Equation.3" shapeId="12" r:id="rId23">
          <objectPr defaultSize="0" autoPict="0" r:id="rId24">
            <anchor moveWithCells="1" sizeWithCells="1">
              <from>
                <xdr:col>1</xdr:col>
                <xdr:colOff>0</xdr:colOff>
                <xdr:row>673</xdr:row>
                <xdr:rowOff>0</xdr:rowOff>
              </from>
              <to>
                <xdr:col>1</xdr:col>
                <xdr:colOff>114300</xdr:colOff>
                <xdr:row>674</xdr:row>
                <xdr:rowOff>19050</xdr:rowOff>
              </to>
            </anchor>
          </objectPr>
        </oleObject>
      </mc:Choice>
      <mc:Fallback>
        <oleObject progId="Equation.3" shapeId="1035" r:id="rId23"/>
      </mc:Fallback>
    </mc:AlternateContent>
    <mc:AlternateContent xmlns:mc="http://schemas.openxmlformats.org/markup-compatibility/2006">
      <mc:Choice Requires="x14">
        <oleObject progId="Equation.3" shapeId="13" r:id="rId25">
          <objectPr defaultSize="0" autoPict="0" r:id="rId26">
            <anchor moveWithCells="1" sizeWithCells="1">
              <from>
                <xdr:col>1</xdr:col>
                <xdr:colOff>28575</xdr:colOff>
                <xdr:row>673</xdr:row>
                <xdr:rowOff>219075</xdr:rowOff>
              </from>
              <to>
                <xdr:col>1</xdr:col>
                <xdr:colOff>361950</xdr:colOff>
                <xdr:row>675</xdr:row>
                <xdr:rowOff>152400</xdr:rowOff>
              </to>
            </anchor>
          </objectPr>
        </oleObject>
      </mc:Choice>
      <mc:Fallback>
        <oleObject progId="Equation.3" shapeId="1036" r:id="rId25"/>
      </mc:Fallback>
    </mc:AlternateContent>
    <mc:AlternateContent xmlns:mc="http://schemas.openxmlformats.org/markup-compatibility/2006">
      <mc:Choice Requires="x14">
        <oleObject progId="Equation.3" shapeId="14" r:id="rId27">
          <objectPr defaultSize="0" autoPict="0" r:id="rId26">
            <anchor moveWithCells="1" sizeWithCells="1">
              <from>
                <xdr:col>2</xdr:col>
                <xdr:colOff>342900</xdr:colOff>
                <xdr:row>673</xdr:row>
                <xdr:rowOff>209550</xdr:rowOff>
              </from>
              <to>
                <xdr:col>2</xdr:col>
                <xdr:colOff>676275</xdr:colOff>
                <xdr:row>675</xdr:row>
                <xdr:rowOff>142875</xdr:rowOff>
              </to>
            </anchor>
          </objectPr>
        </oleObject>
      </mc:Choice>
      <mc:Fallback>
        <oleObject progId="Equation.3" shapeId="1037" r:id="rId27"/>
      </mc:Fallback>
    </mc:AlternateContent>
    <mc:AlternateContent xmlns:mc="http://schemas.openxmlformats.org/markup-compatibility/2006">
      <mc:Choice Requires="x14">
        <oleObject progId="Equation.3" shapeId="15" r:id="rId28">
          <objectPr defaultSize="0" autoPict="0" r:id="rId29">
            <anchor moveWithCells="1" sizeWithCells="1">
              <from>
                <xdr:col>1</xdr:col>
                <xdr:colOff>0</xdr:colOff>
                <xdr:row>691</xdr:row>
                <xdr:rowOff>190500</xdr:rowOff>
              </from>
              <to>
                <xdr:col>1</xdr:col>
                <xdr:colOff>257175</xdr:colOff>
                <xdr:row>693</xdr:row>
                <xdr:rowOff>28575</xdr:rowOff>
              </to>
            </anchor>
          </objectPr>
        </oleObject>
      </mc:Choice>
      <mc:Fallback>
        <oleObject progId="Equation.3" shapeId="1038" r:id="rId28"/>
      </mc:Fallback>
    </mc:AlternateContent>
    <mc:AlternateContent xmlns:mc="http://schemas.openxmlformats.org/markup-compatibility/2006">
      <mc:Choice Requires="x14">
        <oleObject progId="Equation.3" shapeId="16" r:id="rId30">
          <objectPr defaultSize="0" autoPict="0" r:id="rId31">
            <anchor moveWithCells="1" sizeWithCells="1">
              <from>
                <xdr:col>1</xdr:col>
                <xdr:colOff>0</xdr:colOff>
                <xdr:row>690</xdr:row>
                <xdr:rowOff>228600</xdr:rowOff>
              </from>
              <to>
                <xdr:col>1</xdr:col>
                <xdr:colOff>247650</xdr:colOff>
                <xdr:row>692</xdr:row>
                <xdr:rowOff>28575</xdr:rowOff>
              </to>
            </anchor>
          </objectPr>
        </oleObject>
      </mc:Choice>
      <mc:Fallback>
        <oleObject progId="Equation.3" shapeId="1039" r:id="rId30"/>
      </mc:Fallback>
    </mc:AlternateContent>
    <mc:AlternateContent xmlns:mc="http://schemas.openxmlformats.org/markup-compatibility/2006">
      <mc:Choice Requires="x14">
        <oleObject progId="Equation.3" shapeId="17" r:id="rId32">
          <objectPr defaultSize="0" autoPict="0" r:id="rId33">
            <anchor moveWithCells="1" sizeWithCells="1">
              <from>
                <xdr:col>1</xdr:col>
                <xdr:colOff>0</xdr:colOff>
                <xdr:row>693</xdr:row>
                <xdr:rowOff>0</xdr:rowOff>
              </from>
              <to>
                <xdr:col>1</xdr:col>
                <xdr:colOff>238125</xdr:colOff>
                <xdr:row>694</xdr:row>
                <xdr:rowOff>9525</xdr:rowOff>
              </to>
            </anchor>
          </objectPr>
        </oleObject>
      </mc:Choice>
      <mc:Fallback>
        <oleObject progId="Equation.3" shapeId="1040" r:id="rId32"/>
      </mc:Fallback>
    </mc:AlternateContent>
    <mc:AlternateContent xmlns:mc="http://schemas.openxmlformats.org/markup-compatibility/2006">
      <mc:Choice Requires="x14">
        <oleObject progId="Equation.3" shapeId="18" r:id="rId34">
          <objectPr defaultSize="0" autoPict="0" r:id="rId35">
            <anchor moveWithCells="1" sizeWithCells="1">
              <from>
                <xdr:col>1</xdr:col>
                <xdr:colOff>476250</xdr:colOff>
                <xdr:row>692</xdr:row>
                <xdr:rowOff>0</xdr:rowOff>
              </from>
              <to>
                <xdr:col>1</xdr:col>
                <xdr:colOff>714375</xdr:colOff>
                <xdr:row>693</xdr:row>
                <xdr:rowOff>19050</xdr:rowOff>
              </to>
            </anchor>
          </objectPr>
        </oleObject>
      </mc:Choice>
      <mc:Fallback>
        <oleObject progId="Equation.3" shapeId="1041" r:id="rId34"/>
      </mc:Fallback>
    </mc:AlternateContent>
    <mc:AlternateContent xmlns:mc="http://schemas.openxmlformats.org/markup-compatibility/2006">
      <mc:Choice Requires="x14">
        <oleObject progId="Equation.3" shapeId="19" r:id="rId36">
          <objectPr defaultSize="0" autoPict="0" r:id="rId37">
            <anchor moveWithCells="1" sizeWithCells="1">
              <from>
                <xdr:col>1</xdr:col>
                <xdr:colOff>476250</xdr:colOff>
                <xdr:row>693</xdr:row>
                <xdr:rowOff>19050</xdr:rowOff>
              </from>
              <to>
                <xdr:col>1</xdr:col>
                <xdr:colOff>714375</xdr:colOff>
                <xdr:row>693</xdr:row>
                <xdr:rowOff>180975</xdr:rowOff>
              </to>
            </anchor>
          </objectPr>
        </oleObject>
      </mc:Choice>
      <mc:Fallback>
        <oleObject progId="Equation.3" shapeId="1042" r:id="rId36"/>
      </mc:Fallback>
    </mc:AlternateContent>
    <mc:AlternateContent xmlns:mc="http://schemas.openxmlformats.org/markup-compatibility/2006">
      <mc:Choice Requires="x14">
        <oleObject progId="Equation.3" shapeId="20" r:id="rId38">
          <objectPr defaultSize="0" autoPict="0" r:id="rId39">
            <anchor moveWithCells="1" sizeWithCells="1">
              <from>
                <xdr:col>1</xdr:col>
                <xdr:colOff>466725</xdr:colOff>
                <xdr:row>691</xdr:row>
                <xdr:rowOff>0</xdr:rowOff>
              </from>
              <to>
                <xdr:col>1</xdr:col>
                <xdr:colOff>723900</xdr:colOff>
                <xdr:row>692</xdr:row>
                <xdr:rowOff>19050</xdr:rowOff>
              </to>
            </anchor>
          </objectPr>
        </oleObject>
      </mc:Choice>
      <mc:Fallback>
        <oleObject progId="Equation.3" shapeId="1043" r:id="rId38"/>
      </mc:Fallback>
    </mc:AlternateContent>
    <mc:AlternateContent xmlns:mc="http://schemas.openxmlformats.org/markup-compatibility/2006">
      <mc:Choice Requires="x14">
        <oleObject progId="Equation.3" shapeId="21" r:id="rId40">
          <objectPr defaultSize="0" autoPict="0" r:id="rId41">
            <anchor moveWithCells="1" sizeWithCells="1">
              <from>
                <xdr:col>1</xdr:col>
                <xdr:colOff>895350</xdr:colOff>
                <xdr:row>696</xdr:row>
                <xdr:rowOff>95250</xdr:rowOff>
              </from>
              <to>
                <xdr:col>3</xdr:col>
                <xdr:colOff>504825</xdr:colOff>
                <xdr:row>698</xdr:row>
                <xdr:rowOff>114300</xdr:rowOff>
              </to>
            </anchor>
          </objectPr>
        </oleObject>
      </mc:Choice>
      <mc:Fallback>
        <oleObject progId="Equation.3" shapeId="1044" r:id="rId40"/>
      </mc:Fallback>
    </mc:AlternateContent>
    <mc:AlternateContent xmlns:mc="http://schemas.openxmlformats.org/markup-compatibility/2006">
      <mc:Choice Requires="x14">
        <oleObject progId="Equation.3" shapeId="22" r:id="rId42">
          <objectPr defaultSize="0" autoPict="0" r:id="rId43">
            <anchor moveWithCells="1" sizeWithCells="1">
              <from>
                <xdr:col>1</xdr:col>
                <xdr:colOff>876300</xdr:colOff>
                <xdr:row>698</xdr:row>
                <xdr:rowOff>95250</xdr:rowOff>
              </from>
              <to>
                <xdr:col>3</xdr:col>
                <xdr:colOff>457200</xdr:colOff>
                <xdr:row>700</xdr:row>
                <xdr:rowOff>114300</xdr:rowOff>
              </to>
            </anchor>
          </objectPr>
        </oleObject>
      </mc:Choice>
      <mc:Fallback>
        <oleObject progId="Equation.3" shapeId="1045" r:id="rId42"/>
      </mc:Fallback>
    </mc:AlternateContent>
    <mc:AlternateContent xmlns:mc="http://schemas.openxmlformats.org/markup-compatibility/2006">
      <mc:Choice Requires="x14">
        <oleObject progId="Equation.3" shapeId="23" r:id="rId44">
          <objectPr defaultSize="0" autoPict="0" r:id="rId33">
            <anchor moveWithCells="1" sizeWithCells="1">
              <from>
                <xdr:col>2</xdr:col>
                <xdr:colOff>342900</xdr:colOff>
                <xdr:row>703</xdr:row>
                <xdr:rowOff>9525</xdr:rowOff>
              </from>
              <to>
                <xdr:col>2</xdr:col>
                <xdr:colOff>581025</xdr:colOff>
                <xdr:row>704</xdr:row>
                <xdr:rowOff>19050</xdr:rowOff>
              </to>
            </anchor>
          </objectPr>
        </oleObject>
      </mc:Choice>
      <mc:Fallback>
        <oleObject progId="Equation.3" shapeId="1046" r:id="rId44"/>
      </mc:Fallback>
    </mc:AlternateContent>
    <mc:AlternateContent xmlns:mc="http://schemas.openxmlformats.org/markup-compatibility/2006">
      <mc:Choice Requires="x14">
        <oleObject progId="Equation.3" shapeId="24" r:id="rId45">
          <objectPr defaultSize="0" autoPict="0" r:id="rId46">
            <anchor moveWithCells="1" sizeWithCells="1">
              <from>
                <xdr:col>5</xdr:col>
                <xdr:colOff>142875</xdr:colOff>
                <xdr:row>702</xdr:row>
                <xdr:rowOff>95250</xdr:rowOff>
              </from>
              <to>
                <xdr:col>6</xdr:col>
                <xdr:colOff>390525</xdr:colOff>
                <xdr:row>704</xdr:row>
                <xdr:rowOff>152400</xdr:rowOff>
              </to>
            </anchor>
          </objectPr>
        </oleObject>
      </mc:Choice>
      <mc:Fallback>
        <oleObject progId="Equation.3" shapeId="1047" r:id="rId45"/>
      </mc:Fallback>
    </mc:AlternateContent>
    <mc:AlternateContent xmlns:mc="http://schemas.openxmlformats.org/markup-compatibility/2006">
      <mc:Choice Requires="x14">
        <oleObject progId="Equation.3" shapeId="25" r:id="rId47">
          <objectPr defaultSize="0" autoPict="0" r:id="rId33">
            <anchor moveWithCells="1" sizeWithCells="1">
              <from>
                <xdr:col>1</xdr:col>
                <xdr:colOff>885825</xdr:colOff>
                <xdr:row>708</xdr:row>
                <xdr:rowOff>180975</xdr:rowOff>
              </from>
              <to>
                <xdr:col>2</xdr:col>
                <xdr:colOff>161925</xdr:colOff>
                <xdr:row>709</xdr:row>
                <xdr:rowOff>190500</xdr:rowOff>
              </to>
            </anchor>
          </objectPr>
        </oleObject>
      </mc:Choice>
      <mc:Fallback>
        <oleObject progId="Equation.3" shapeId="1048" r:id="rId47"/>
      </mc:Fallback>
    </mc:AlternateContent>
    <mc:AlternateContent xmlns:mc="http://schemas.openxmlformats.org/markup-compatibility/2006">
      <mc:Choice Requires="x14">
        <oleObject progId="Equation.3" shapeId="26" r:id="rId48">
          <objectPr defaultSize="0" autoPict="0" r:id="rId33">
            <anchor moveWithCells="1" sizeWithCells="1">
              <from>
                <xdr:col>2</xdr:col>
                <xdr:colOff>466725</xdr:colOff>
                <xdr:row>711</xdr:row>
                <xdr:rowOff>0</xdr:rowOff>
              </from>
              <to>
                <xdr:col>2</xdr:col>
                <xdr:colOff>714375</xdr:colOff>
                <xdr:row>712</xdr:row>
                <xdr:rowOff>9525</xdr:rowOff>
              </to>
            </anchor>
          </objectPr>
        </oleObject>
      </mc:Choice>
      <mc:Fallback>
        <oleObject progId="Equation.3" shapeId="1049" r:id="rId48"/>
      </mc:Fallback>
    </mc:AlternateContent>
    <mc:AlternateContent xmlns:mc="http://schemas.openxmlformats.org/markup-compatibility/2006">
      <mc:Choice Requires="x14">
        <oleObject progId="Equation.3" shapeId="27" r:id="rId49">
          <objectPr defaultSize="0" autoPict="0" r:id="rId50">
            <anchor moveWithCells="1" sizeWithCells="1">
              <from>
                <xdr:col>2</xdr:col>
                <xdr:colOff>276225</xdr:colOff>
                <xdr:row>712</xdr:row>
                <xdr:rowOff>114300</xdr:rowOff>
              </from>
              <to>
                <xdr:col>3</xdr:col>
                <xdr:colOff>323850</xdr:colOff>
                <xdr:row>714</xdr:row>
                <xdr:rowOff>161925</xdr:rowOff>
              </to>
            </anchor>
          </objectPr>
        </oleObject>
      </mc:Choice>
      <mc:Fallback>
        <oleObject progId="Equation.3" shapeId="1050" r:id="rId49"/>
      </mc:Fallback>
    </mc:AlternateContent>
    <mc:AlternateContent xmlns:mc="http://schemas.openxmlformats.org/markup-compatibility/2006">
      <mc:Choice Requires="x14">
        <oleObject progId="Equation.3" shapeId="28" r:id="rId51">
          <objectPr defaultSize="0" autoPict="0" r:id="rId33">
            <anchor moveWithCells="1" sizeWithCells="1">
              <from>
                <xdr:col>2</xdr:col>
                <xdr:colOff>257175</xdr:colOff>
                <xdr:row>718</xdr:row>
                <xdr:rowOff>9525</xdr:rowOff>
              </from>
              <to>
                <xdr:col>2</xdr:col>
                <xdr:colOff>495300</xdr:colOff>
                <xdr:row>719</xdr:row>
                <xdr:rowOff>19050</xdr:rowOff>
              </to>
            </anchor>
          </objectPr>
        </oleObject>
      </mc:Choice>
      <mc:Fallback>
        <oleObject progId="Equation.3" shapeId="1051" r:id="rId51"/>
      </mc:Fallback>
    </mc:AlternateContent>
    <mc:AlternateContent xmlns:mc="http://schemas.openxmlformats.org/markup-compatibility/2006">
      <mc:Choice Requires="x14">
        <oleObject progId="Equation.3" shapeId="29" r:id="rId52">
          <objectPr defaultSize="0" autoPict="0" r:id="rId29">
            <anchor moveWithCells="1" sizeWithCells="1">
              <from>
                <xdr:col>1</xdr:col>
                <xdr:colOff>742950</xdr:colOff>
                <xdr:row>719</xdr:row>
                <xdr:rowOff>171450</xdr:rowOff>
              </from>
              <to>
                <xdr:col>2</xdr:col>
                <xdr:colOff>257175</xdr:colOff>
                <xdr:row>721</xdr:row>
                <xdr:rowOff>9525</xdr:rowOff>
              </to>
            </anchor>
          </objectPr>
        </oleObject>
      </mc:Choice>
      <mc:Fallback>
        <oleObject progId="Equation.3" shapeId="1052" r:id="rId52"/>
      </mc:Fallback>
    </mc:AlternateContent>
    <mc:AlternateContent xmlns:mc="http://schemas.openxmlformats.org/markup-compatibility/2006">
      <mc:Choice Requires="x14">
        <oleObject progId="Equation.3" shapeId="30" r:id="rId53">
          <objectPr defaultSize="0" autoPict="0" r:id="rId31">
            <anchor moveWithCells="1" sizeWithCells="1">
              <from>
                <xdr:col>1</xdr:col>
                <xdr:colOff>733425</xdr:colOff>
                <xdr:row>721</xdr:row>
                <xdr:rowOff>0</xdr:rowOff>
              </from>
              <to>
                <xdr:col>2</xdr:col>
                <xdr:colOff>238125</xdr:colOff>
                <xdr:row>722</xdr:row>
                <xdr:rowOff>38100</xdr:rowOff>
              </to>
            </anchor>
          </objectPr>
        </oleObject>
      </mc:Choice>
      <mc:Fallback>
        <oleObject progId="Equation.3" shapeId="1053" r:id="rId53"/>
      </mc:Fallback>
    </mc:AlternateContent>
    <mc:AlternateContent xmlns:mc="http://schemas.openxmlformats.org/markup-compatibility/2006">
      <mc:Choice Requires="x14">
        <oleObject progId="Equation.3" shapeId="31" r:id="rId54">
          <objectPr defaultSize="0" autoPict="0" r:id="rId33">
            <anchor moveWithCells="1" sizeWithCells="1">
              <from>
                <xdr:col>1</xdr:col>
                <xdr:colOff>800100</xdr:colOff>
                <xdr:row>721</xdr:row>
                <xdr:rowOff>190500</xdr:rowOff>
              </from>
              <to>
                <xdr:col>2</xdr:col>
                <xdr:colOff>76200</xdr:colOff>
                <xdr:row>722</xdr:row>
                <xdr:rowOff>200025</xdr:rowOff>
              </to>
            </anchor>
          </objectPr>
        </oleObject>
      </mc:Choice>
      <mc:Fallback>
        <oleObject progId="Equation.3" shapeId="1054" r:id="rId54"/>
      </mc:Fallback>
    </mc:AlternateContent>
    <mc:AlternateContent xmlns:mc="http://schemas.openxmlformats.org/markup-compatibility/2006">
      <mc:Choice Requires="x14">
        <oleObject progId="Equation.3" shapeId="32" r:id="rId55">
          <objectPr defaultSize="0" autoPict="0" r:id="rId56">
            <anchor moveWithCells="1" sizeWithCells="1">
              <from>
                <xdr:col>1</xdr:col>
                <xdr:colOff>0</xdr:colOff>
                <xdr:row>735</xdr:row>
                <xdr:rowOff>0</xdr:rowOff>
              </from>
              <to>
                <xdr:col>1</xdr:col>
                <xdr:colOff>609600</xdr:colOff>
                <xdr:row>736</xdr:row>
                <xdr:rowOff>19050</xdr:rowOff>
              </to>
            </anchor>
          </objectPr>
        </oleObject>
      </mc:Choice>
      <mc:Fallback>
        <oleObject progId="Equation.3" shapeId="1055" r:id="rId55"/>
      </mc:Fallback>
    </mc:AlternateContent>
    <mc:AlternateContent xmlns:mc="http://schemas.openxmlformats.org/markup-compatibility/2006">
      <mc:Choice Requires="x14">
        <oleObject progId="Equation.3" shapeId="33" r:id="rId57">
          <objectPr defaultSize="0" autoPict="0" r:id="rId58">
            <anchor moveWithCells="1" sizeWithCells="1">
              <from>
                <xdr:col>1</xdr:col>
                <xdr:colOff>0</xdr:colOff>
                <xdr:row>736</xdr:row>
                <xdr:rowOff>0</xdr:rowOff>
              </from>
              <to>
                <xdr:col>1</xdr:col>
                <xdr:colOff>657225</xdr:colOff>
                <xdr:row>737</xdr:row>
                <xdr:rowOff>19050</xdr:rowOff>
              </to>
            </anchor>
          </objectPr>
        </oleObject>
      </mc:Choice>
      <mc:Fallback>
        <oleObject progId="Equation.3" shapeId="1056" r:id="rId57"/>
      </mc:Fallback>
    </mc:AlternateContent>
    <mc:AlternateContent xmlns:mc="http://schemas.openxmlformats.org/markup-compatibility/2006">
      <mc:Choice Requires="x14">
        <oleObject progId="Equation.3" shapeId="34" r:id="rId59">
          <objectPr defaultSize="0" autoPict="0" r:id="rId60">
            <anchor moveWithCells="1" sizeWithCells="1">
              <from>
                <xdr:col>1</xdr:col>
                <xdr:colOff>0</xdr:colOff>
                <xdr:row>737</xdr:row>
                <xdr:rowOff>0</xdr:rowOff>
              </from>
              <to>
                <xdr:col>1</xdr:col>
                <xdr:colOff>638175</xdr:colOff>
                <xdr:row>738</xdr:row>
                <xdr:rowOff>38100</xdr:rowOff>
              </to>
            </anchor>
          </objectPr>
        </oleObject>
      </mc:Choice>
      <mc:Fallback>
        <oleObject progId="Equation.3" shapeId="1057" r:id="rId59"/>
      </mc:Fallback>
    </mc:AlternateContent>
    <mc:AlternateContent xmlns:mc="http://schemas.openxmlformats.org/markup-compatibility/2006">
      <mc:Choice Requires="x14">
        <oleObject progId="Equation.3" shapeId="35" r:id="rId61">
          <objectPr defaultSize="0" autoPict="0" r:id="rId62">
            <anchor moveWithCells="1" sizeWithCells="1">
              <from>
                <xdr:col>1</xdr:col>
                <xdr:colOff>828675</xdr:colOff>
                <xdr:row>747</xdr:row>
                <xdr:rowOff>0</xdr:rowOff>
              </from>
              <to>
                <xdr:col>2</xdr:col>
                <xdr:colOff>104775</xdr:colOff>
                <xdr:row>748</xdr:row>
                <xdr:rowOff>19050</xdr:rowOff>
              </to>
            </anchor>
          </objectPr>
        </oleObject>
      </mc:Choice>
      <mc:Fallback>
        <oleObject progId="Equation.3" shapeId="1058" r:id="rId61"/>
      </mc:Fallback>
    </mc:AlternateContent>
    <mc:AlternateContent xmlns:mc="http://schemas.openxmlformats.org/markup-compatibility/2006">
      <mc:Choice Requires="x14">
        <oleObject progId="Equation.3" shapeId="36" r:id="rId63">
          <objectPr defaultSize="0" autoPict="0" r:id="rId64">
            <anchor moveWithCells="1" sizeWithCells="1">
              <from>
                <xdr:col>2</xdr:col>
                <xdr:colOff>285750</xdr:colOff>
                <xdr:row>740</xdr:row>
                <xdr:rowOff>95250</xdr:rowOff>
              </from>
              <to>
                <xdr:col>4</xdr:col>
                <xdr:colOff>123825</xdr:colOff>
                <xdr:row>742</xdr:row>
                <xdr:rowOff>114300</xdr:rowOff>
              </to>
            </anchor>
          </objectPr>
        </oleObject>
      </mc:Choice>
      <mc:Fallback>
        <oleObject progId="Equation.3" shapeId="1059" r:id="rId63"/>
      </mc:Fallback>
    </mc:AlternateContent>
    <mc:AlternateContent xmlns:mc="http://schemas.openxmlformats.org/markup-compatibility/2006">
      <mc:Choice Requires="x14">
        <oleObject progId="Equation.3" shapeId="37" r:id="rId65">
          <objectPr defaultSize="0" autoPict="0" r:id="rId66">
            <anchor moveWithCells="1" sizeWithCells="1">
              <from>
                <xdr:col>2</xdr:col>
                <xdr:colOff>285750</xdr:colOff>
                <xdr:row>742</xdr:row>
                <xdr:rowOff>95250</xdr:rowOff>
              </from>
              <to>
                <xdr:col>4</xdr:col>
                <xdr:colOff>161925</xdr:colOff>
                <xdr:row>744</xdr:row>
                <xdr:rowOff>114300</xdr:rowOff>
              </to>
            </anchor>
          </objectPr>
        </oleObject>
      </mc:Choice>
      <mc:Fallback>
        <oleObject progId="Equation.3" shapeId="1060" r:id="rId65"/>
      </mc:Fallback>
    </mc:AlternateContent>
    <mc:AlternateContent xmlns:mc="http://schemas.openxmlformats.org/markup-compatibility/2006">
      <mc:Choice Requires="x14">
        <oleObject progId="Equation.3" shapeId="38" r:id="rId67">
          <objectPr defaultSize="0" autoPict="0" r:id="rId46">
            <anchor moveWithCells="1" sizeWithCells="1">
              <from>
                <xdr:col>4</xdr:col>
                <xdr:colOff>523875</xdr:colOff>
                <xdr:row>746</xdr:row>
                <xdr:rowOff>95250</xdr:rowOff>
              </from>
              <to>
                <xdr:col>6</xdr:col>
                <xdr:colOff>66675</xdr:colOff>
                <xdr:row>748</xdr:row>
                <xdr:rowOff>152400</xdr:rowOff>
              </to>
            </anchor>
          </objectPr>
        </oleObject>
      </mc:Choice>
      <mc:Fallback>
        <oleObject progId="Equation.3" shapeId="1061" r:id="rId67"/>
      </mc:Fallback>
    </mc:AlternateContent>
    <mc:AlternateContent xmlns:mc="http://schemas.openxmlformats.org/markup-compatibility/2006">
      <mc:Choice Requires="x14">
        <oleObject progId="Equation.3" shapeId="39" r:id="rId68">
          <objectPr defaultSize="0" autoPict="0" r:id="rId62">
            <anchor moveWithCells="1" sizeWithCells="1">
              <from>
                <xdr:col>1</xdr:col>
                <xdr:colOff>885825</xdr:colOff>
                <xdr:row>753</xdr:row>
                <xdr:rowOff>190500</xdr:rowOff>
              </from>
              <to>
                <xdr:col>2</xdr:col>
                <xdr:colOff>161925</xdr:colOff>
                <xdr:row>755</xdr:row>
                <xdr:rowOff>9525</xdr:rowOff>
              </to>
            </anchor>
          </objectPr>
        </oleObject>
      </mc:Choice>
      <mc:Fallback>
        <oleObject progId="Equation.3" shapeId="1062" r:id="rId68"/>
      </mc:Fallback>
    </mc:AlternateContent>
    <mc:AlternateContent xmlns:mc="http://schemas.openxmlformats.org/markup-compatibility/2006">
      <mc:Choice Requires="x14">
        <oleObject progId="Equation.3" shapeId="657" r:id="rId69">
          <objectPr defaultSize="0" autoPict="0" r:id="rId46">
            <anchor moveWithCells="1" sizeWithCells="1">
              <from>
                <xdr:col>2</xdr:col>
                <xdr:colOff>666750</xdr:colOff>
                <xdr:row>753</xdr:row>
                <xdr:rowOff>95250</xdr:rowOff>
              </from>
              <to>
                <xdr:col>4</xdr:col>
                <xdr:colOff>171450</xdr:colOff>
                <xdr:row>755</xdr:row>
                <xdr:rowOff>152400</xdr:rowOff>
              </to>
            </anchor>
          </objectPr>
        </oleObject>
      </mc:Choice>
      <mc:Fallback>
        <oleObject progId="Equation.3" shapeId="1063" r:id="rId69"/>
      </mc:Fallback>
    </mc:AlternateContent>
    <mc:AlternateContent xmlns:mc="http://schemas.openxmlformats.org/markup-compatibility/2006">
      <mc:Choice Requires="x14">
        <oleObject progId="Equation.3" shapeId="658" r:id="rId70">
          <objectPr defaultSize="0" autoPict="0" r:id="rId71">
            <anchor moveWithCells="1" sizeWithCells="1">
              <from>
                <xdr:col>1</xdr:col>
                <xdr:colOff>914400</xdr:colOff>
                <xdr:row>761</xdr:row>
                <xdr:rowOff>180975</xdr:rowOff>
              </from>
              <to>
                <xdr:col>2</xdr:col>
                <xdr:colOff>219075</xdr:colOff>
                <xdr:row>763</xdr:row>
                <xdr:rowOff>9525</xdr:rowOff>
              </to>
            </anchor>
          </objectPr>
        </oleObject>
      </mc:Choice>
      <mc:Fallback>
        <oleObject progId="Equation.3" shapeId="1064" r:id="rId70"/>
      </mc:Fallback>
    </mc:AlternateContent>
    <mc:AlternateContent xmlns:mc="http://schemas.openxmlformats.org/markup-compatibility/2006">
      <mc:Choice Requires="x14">
        <oleObject progId="Equation.3" shapeId="821" r:id="rId72">
          <objectPr defaultSize="0" autoPict="0" r:id="rId46">
            <anchor moveWithCells="1" sizeWithCells="1">
              <from>
                <xdr:col>2</xdr:col>
                <xdr:colOff>685800</xdr:colOff>
                <xdr:row>761</xdr:row>
                <xdr:rowOff>57150</xdr:rowOff>
              </from>
              <to>
                <xdr:col>4</xdr:col>
                <xdr:colOff>190500</xdr:colOff>
                <xdr:row>763</xdr:row>
                <xdr:rowOff>114300</xdr:rowOff>
              </to>
            </anchor>
          </objectPr>
        </oleObject>
      </mc:Choice>
      <mc:Fallback>
        <oleObject progId="Equation.3" shapeId="1065" r:id="rId72"/>
      </mc:Fallback>
    </mc:AlternateContent>
    <mc:AlternateContent xmlns:mc="http://schemas.openxmlformats.org/markup-compatibility/2006">
      <mc:Choice Requires="x14">
        <oleObject progId="Equation.3" shapeId="1083" r:id="rId73">
          <objectPr defaultSize="0" autoPict="0" r:id="rId71">
            <anchor moveWithCells="1" sizeWithCells="1">
              <from>
                <xdr:col>2</xdr:col>
                <xdr:colOff>19050</xdr:colOff>
                <xdr:row>755</xdr:row>
                <xdr:rowOff>171450</xdr:rowOff>
              </from>
              <to>
                <xdr:col>2</xdr:col>
                <xdr:colOff>276225</xdr:colOff>
                <xdr:row>757</xdr:row>
                <xdr:rowOff>0</xdr:rowOff>
              </to>
            </anchor>
          </objectPr>
        </oleObject>
      </mc:Choice>
      <mc:Fallback>
        <oleObject progId="Equation.3" shapeId="1066" r:id="rId73"/>
      </mc:Fallback>
    </mc:AlternateContent>
    <mc:AlternateContent xmlns:mc="http://schemas.openxmlformats.org/markup-compatibility/2006">
      <mc:Choice Requires="x14">
        <oleObject progId="Equation.3" shapeId="1084" r:id="rId74">
          <objectPr defaultSize="0" autoPict="0" r:id="rId46">
            <anchor moveWithCells="1" sizeWithCells="1">
              <from>
                <xdr:col>4</xdr:col>
                <xdr:colOff>657225</xdr:colOff>
                <xdr:row>755</xdr:row>
                <xdr:rowOff>66675</xdr:rowOff>
              </from>
              <to>
                <xdr:col>6</xdr:col>
                <xdr:colOff>200025</xdr:colOff>
                <xdr:row>757</xdr:row>
                <xdr:rowOff>123825</xdr:rowOff>
              </to>
            </anchor>
          </objectPr>
        </oleObject>
      </mc:Choice>
      <mc:Fallback>
        <oleObject progId="Equation.3" shapeId="1067" r:id="rId74"/>
      </mc:Fallback>
    </mc:AlternateContent>
    <mc:AlternateContent xmlns:mc="http://schemas.openxmlformats.org/markup-compatibility/2006">
      <mc:Choice Requires="x14">
        <oleObject progId="Equation.3" shapeId="1144" r:id="rId75">
          <objectPr defaultSize="0" autoPict="0" r:id="rId76">
            <anchor moveWithCells="1" sizeWithCells="1">
              <from>
                <xdr:col>2</xdr:col>
                <xdr:colOff>666750</xdr:colOff>
                <xdr:row>764</xdr:row>
                <xdr:rowOff>0</xdr:rowOff>
              </from>
              <to>
                <xdr:col>3</xdr:col>
                <xdr:colOff>76200</xdr:colOff>
                <xdr:row>765</xdr:row>
                <xdr:rowOff>19050</xdr:rowOff>
              </to>
            </anchor>
          </objectPr>
        </oleObject>
      </mc:Choice>
      <mc:Fallback>
        <oleObject progId="Equation.3" shapeId="1068" r:id="rId75"/>
      </mc:Fallback>
    </mc:AlternateContent>
    <mc:AlternateContent xmlns:mc="http://schemas.openxmlformats.org/markup-compatibility/2006">
      <mc:Choice Requires="x14">
        <oleObject progId="Equation.3" shapeId="1145" r:id="rId77">
          <objectPr defaultSize="0" autoPict="0" r:id="rId78">
            <anchor moveWithCells="1" sizeWithCells="1">
              <from>
                <xdr:col>2</xdr:col>
                <xdr:colOff>266700</xdr:colOff>
                <xdr:row>769</xdr:row>
                <xdr:rowOff>76200</xdr:rowOff>
              </from>
              <to>
                <xdr:col>3</xdr:col>
                <xdr:colOff>314325</xdr:colOff>
                <xdr:row>771</xdr:row>
                <xdr:rowOff>161925</xdr:rowOff>
              </to>
            </anchor>
          </objectPr>
        </oleObject>
      </mc:Choice>
      <mc:Fallback>
        <oleObject progId="Equation.3" shapeId="1069" r:id="rId77"/>
      </mc:Fallback>
    </mc:AlternateContent>
    <mc:AlternateContent xmlns:mc="http://schemas.openxmlformats.org/markup-compatibility/2006">
      <mc:Choice Requires="x14">
        <oleObject progId="Equation.3" shapeId="1146" r:id="rId79">
          <objectPr defaultSize="0" autoPict="0" r:id="rId76">
            <anchor moveWithCells="1" sizeWithCells="1">
              <from>
                <xdr:col>2</xdr:col>
                <xdr:colOff>9525</xdr:colOff>
                <xdr:row>772</xdr:row>
                <xdr:rowOff>190500</xdr:rowOff>
              </from>
              <to>
                <xdr:col>2</xdr:col>
                <xdr:colOff>247650</xdr:colOff>
                <xdr:row>774</xdr:row>
                <xdr:rowOff>19050</xdr:rowOff>
              </to>
            </anchor>
          </objectPr>
        </oleObject>
      </mc:Choice>
      <mc:Fallback>
        <oleObject progId="Equation.3" shapeId="1070" r:id="rId79"/>
      </mc:Fallback>
    </mc:AlternateContent>
    <mc:AlternateContent xmlns:mc="http://schemas.openxmlformats.org/markup-compatibility/2006">
      <mc:Choice Requires="x14">
        <oleObject progId="Equation.3" shapeId="1147" r:id="rId80">
          <objectPr defaultSize="0" autoPict="0" r:id="rId81">
            <anchor moveWithCells="1" sizeWithCells="1">
              <from>
                <xdr:col>2</xdr:col>
                <xdr:colOff>9525</xdr:colOff>
                <xdr:row>774</xdr:row>
                <xdr:rowOff>0</xdr:rowOff>
              </from>
              <to>
                <xdr:col>2</xdr:col>
                <xdr:colOff>285750</xdr:colOff>
                <xdr:row>775</xdr:row>
                <xdr:rowOff>19050</xdr:rowOff>
              </to>
            </anchor>
          </objectPr>
        </oleObject>
      </mc:Choice>
      <mc:Fallback>
        <oleObject progId="Equation.3" shapeId="1071" r:id="rId80"/>
      </mc:Fallback>
    </mc:AlternateContent>
    <mc:AlternateContent xmlns:mc="http://schemas.openxmlformats.org/markup-compatibility/2006">
      <mc:Choice Requires="x14">
        <oleObject progId="Equation.3" shapeId="1148" r:id="rId82">
          <objectPr defaultSize="0" autoPict="0" r:id="rId83">
            <anchor moveWithCells="1" sizeWithCells="1">
              <from>
                <xdr:col>2</xdr:col>
                <xdr:colOff>9525</xdr:colOff>
                <xdr:row>775</xdr:row>
                <xdr:rowOff>9525</xdr:rowOff>
              </from>
              <to>
                <xdr:col>2</xdr:col>
                <xdr:colOff>266700</xdr:colOff>
                <xdr:row>776</xdr:row>
                <xdr:rowOff>38100</xdr:rowOff>
              </to>
            </anchor>
          </objectPr>
        </oleObject>
      </mc:Choice>
      <mc:Fallback>
        <oleObject progId="Equation.3" shapeId="1072" r:id="rId82"/>
      </mc:Fallback>
    </mc:AlternateContent>
    <mc:AlternateContent xmlns:mc="http://schemas.openxmlformats.org/markup-compatibility/2006">
      <mc:Choice Requires="x14">
        <oleObject progId="Equation.3" shapeId="1149" r:id="rId84">
          <objectPr defaultSize="0" autoPict="0" r:id="rId85">
            <anchor moveWithCells="1" sizeWithCells="1">
              <from>
                <xdr:col>1</xdr:col>
                <xdr:colOff>0</xdr:colOff>
                <xdr:row>783</xdr:row>
                <xdr:rowOff>0</xdr:rowOff>
              </from>
              <to>
                <xdr:col>1</xdr:col>
                <xdr:colOff>619125</xdr:colOff>
                <xdr:row>784</xdr:row>
                <xdr:rowOff>19050</xdr:rowOff>
              </to>
            </anchor>
          </objectPr>
        </oleObject>
      </mc:Choice>
      <mc:Fallback>
        <oleObject progId="Equation.3" shapeId="1073" r:id="rId84"/>
      </mc:Fallback>
    </mc:AlternateContent>
    <mc:AlternateContent xmlns:mc="http://schemas.openxmlformats.org/markup-compatibility/2006">
      <mc:Choice Requires="x14">
        <oleObject progId="Equation.3" shapeId="1150" r:id="rId86">
          <objectPr defaultSize="0" autoPict="0" r:id="rId87">
            <anchor moveWithCells="1" sizeWithCells="1">
              <from>
                <xdr:col>1</xdr:col>
                <xdr:colOff>0</xdr:colOff>
                <xdr:row>784</xdr:row>
                <xdr:rowOff>0</xdr:rowOff>
              </from>
              <to>
                <xdr:col>1</xdr:col>
                <xdr:colOff>638175</xdr:colOff>
                <xdr:row>785</xdr:row>
                <xdr:rowOff>38100</xdr:rowOff>
              </to>
            </anchor>
          </objectPr>
        </oleObject>
      </mc:Choice>
      <mc:Fallback>
        <oleObject progId="Equation.3" shapeId="1074" r:id="rId86"/>
      </mc:Fallback>
    </mc:AlternateContent>
    <mc:AlternateContent xmlns:mc="http://schemas.openxmlformats.org/markup-compatibility/2006">
      <mc:Choice Requires="x14">
        <oleObject progId="Equation.3" shapeId="1151" r:id="rId88">
          <objectPr defaultSize="0" autoPict="0" r:id="rId89">
            <anchor moveWithCells="1" sizeWithCells="1">
              <from>
                <xdr:col>1</xdr:col>
                <xdr:colOff>0</xdr:colOff>
                <xdr:row>785</xdr:row>
                <xdr:rowOff>0</xdr:rowOff>
              </from>
              <to>
                <xdr:col>1</xdr:col>
                <xdr:colOff>619125</xdr:colOff>
                <xdr:row>786</xdr:row>
                <xdr:rowOff>28575</xdr:rowOff>
              </to>
            </anchor>
          </objectPr>
        </oleObject>
      </mc:Choice>
      <mc:Fallback>
        <oleObject progId="Equation.3" shapeId="1075" r:id="rId88"/>
      </mc:Fallback>
    </mc:AlternateContent>
    <mc:AlternateContent xmlns:mc="http://schemas.openxmlformats.org/markup-compatibility/2006">
      <mc:Choice Requires="x14">
        <oleObject progId="Equation.3" shapeId="1152" r:id="rId90">
          <objectPr defaultSize="0" autoPict="0" r:id="rId91">
            <anchor moveWithCells="1" sizeWithCells="1">
              <from>
                <xdr:col>2</xdr:col>
                <xdr:colOff>209550</xdr:colOff>
                <xdr:row>789</xdr:row>
                <xdr:rowOff>9525</xdr:rowOff>
              </from>
              <to>
                <xdr:col>2</xdr:col>
                <xdr:colOff>447675</xdr:colOff>
                <xdr:row>790</xdr:row>
                <xdr:rowOff>28575</xdr:rowOff>
              </to>
            </anchor>
          </objectPr>
        </oleObject>
      </mc:Choice>
      <mc:Fallback>
        <oleObject progId="Equation.3" shapeId="1076" r:id="rId90"/>
      </mc:Fallback>
    </mc:AlternateContent>
    <mc:AlternateContent xmlns:mc="http://schemas.openxmlformats.org/markup-compatibility/2006">
      <mc:Choice Requires="x14">
        <oleObject progId="Equation.3" shapeId="1153" r:id="rId92">
          <objectPr defaultSize="0" autoPict="0" r:id="rId93">
            <anchor moveWithCells="1" sizeWithCells="1">
              <from>
                <xdr:col>2</xdr:col>
                <xdr:colOff>209550</xdr:colOff>
                <xdr:row>790</xdr:row>
                <xdr:rowOff>9525</xdr:rowOff>
              </from>
              <to>
                <xdr:col>2</xdr:col>
                <xdr:colOff>447675</xdr:colOff>
                <xdr:row>791</xdr:row>
                <xdr:rowOff>28575</xdr:rowOff>
              </to>
            </anchor>
          </objectPr>
        </oleObject>
      </mc:Choice>
      <mc:Fallback>
        <oleObject progId="Equation.3" shapeId="1077" r:id="rId92"/>
      </mc:Fallback>
    </mc:AlternateContent>
    <mc:AlternateContent xmlns:mc="http://schemas.openxmlformats.org/markup-compatibility/2006">
      <mc:Choice Requires="x14">
        <oleObject progId="Equation.3" shapeId="1154" r:id="rId94">
          <objectPr defaultSize="0" autoPict="0" r:id="rId91">
            <anchor moveWithCells="1" sizeWithCells="1">
              <from>
                <xdr:col>2</xdr:col>
                <xdr:colOff>180975</xdr:colOff>
                <xdr:row>794</xdr:row>
                <xdr:rowOff>9525</xdr:rowOff>
              </from>
              <to>
                <xdr:col>2</xdr:col>
                <xdr:colOff>419100</xdr:colOff>
                <xdr:row>795</xdr:row>
                <xdr:rowOff>0</xdr:rowOff>
              </to>
            </anchor>
          </objectPr>
        </oleObject>
      </mc:Choice>
      <mc:Fallback>
        <oleObject progId="Equation.3" shapeId="1078" r:id="rId94"/>
      </mc:Fallback>
    </mc:AlternateContent>
    <mc:AlternateContent xmlns:mc="http://schemas.openxmlformats.org/markup-compatibility/2006">
      <mc:Choice Requires="x14">
        <oleObject progId="Equation.3" shapeId="1155" r:id="rId95">
          <objectPr defaultSize="0" autoPict="0" r:id="rId46">
            <anchor moveWithCells="1" sizeWithCells="1">
              <from>
                <xdr:col>2</xdr:col>
                <xdr:colOff>657225</xdr:colOff>
                <xdr:row>799</xdr:row>
                <xdr:rowOff>85725</xdr:rowOff>
              </from>
              <to>
                <xdr:col>4</xdr:col>
                <xdr:colOff>161925</xdr:colOff>
                <xdr:row>801</xdr:row>
                <xdr:rowOff>142875</xdr:rowOff>
              </to>
            </anchor>
          </objectPr>
        </oleObject>
      </mc:Choice>
      <mc:Fallback>
        <oleObject progId="Equation.3" shapeId="1079" r:id="rId95"/>
      </mc:Fallback>
    </mc:AlternateContent>
    <mc:AlternateContent xmlns:mc="http://schemas.openxmlformats.org/markup-compatibility/2006">
      <mc:Choice Requires="x14">
        <oleObject progId="Equation.3" shapeId="1156" r:id="rId96">
          <objectPr defaultSize="0" autoPict="0" r:id="rId91">
            <anchor moveWithCells="1" sizeWithCells="1">
              <from>
                <xdr:col>1</xdr:col>
                <xdr:colOff>904875</xdr:colOff>
                <xdr:row>800</xdr:row>
                <xdr:rowOff>9525</xdr:rowOff>
              </from>
              <to>
                <xdr:col>2</xdr:col>
                <xdr:colOff>180975</xdr:colOff>
                <xdr:row>801</xdr:row>
                <xdr:rowOff>0</xdr:rowOff>
              </to>
            </anchor>
          </objectPr>
        </oleObject>
      </mc:Choice>
      <mc:Fallback>
        <oleObject progId="Equation.3" shapeId="1080" r:id="rId96"/>
      </mc:Fallback>
    </mc:AlternateContent>
    <mc:AlternateContent xmlns:mc="http://schemas.openxmlformats.org/markup-compatibility/2006">
      <mc:Choice Requires="x14">
        <oleObject progId="Equation.3" shapeId="1157" r:id="rId97">
          <objectPr defaultSize="0" autoPict="0" r:id="rId91">
            <anchor moveWithCells="1" sizeWithCells="1">
              <from>
                <xdr:col>2</xdr:col>
                <xdr:colOff>0</xdr:colOff>
                <xdr:row>803</xdr:row>
                <xdr:rowOff>19050</xdr:rowOff>
              </from>
              <to>
                <xdr:col>2</xdr:col>
                <xdr:colOff>238125</xdr:colOff>
                <xdr:row>804</xdr:row>
                <xdr:rowOff>9525</xdr:rowOff>
              </to>
            </anchor>
          </objectPr>
        </oleObject>
      </mc:Choice>
      <mc:Fallback>
        <oleObject progId="Equation.3" shapeId="1081" r:id="rId97"/>
      </mc:Fallback>
    </mc:AlternateContent>
    <mc:AlternateContent xmlns:mc="http://schemas.openxmlformats.org/markup-compatibility/2006">
      <mc:Choice Requires="x14">
        <oleObject progId="Equation.3" shapeId="1158" r:id="rId98">
          <objectPr defaultSize="0" autoPict="0" r:id="rId93">
            <anchor moveWithCells="1" sizeWithCells="1">
              <from>
                <xdr:col>2</xdr:col>
                <xdr:colOff>9525</xdr:colOff>
                <xdr:row>805</xdr:row>
                <xdr:rowOff>0</xdr:rowOff>
              </from>
              <to>
                <xdr:col>2</xdr:col>
                <xdr:colOff>247650</xdr:colOff>
                <xdr:row>806</xdr:row>
                <xdr:rowOff>19050</xdr:rowOff>
              </to>
            </anchor>
          </objectPr>
        </oleObject>
      </mc:Choice>
      <mc:Fallback>
        <oleObject progId="Equation.3" shapeId="1082" r:id="rId98"/>
      </mc:Fallback>
    </mc:AlternateContent>
    <mc:AlternateContent xmlns:mc="http://schemas.openxmlformats.org/markup-compatibility/2006">
      <mc:Choice Requires="x14">
        <oleObject progId="Equation.3" shapeId="1159" r:id="rId99">
          <objectPr defaultSize="0" autoPict="0" r:id="rId100">
            <anchor moveWithCells="1" sizeWithCells="1">
              <from>
                <xdr:col>2</xdr:col>
                <xdr:colOff>9525</xdr:colOff>
                <xdr:row>804</xdr:row>
                <xdr:rowOff>0</xdr:rowOff>
              </from>
              <to>
                <xdr:col>2</xdr:col>
                <xdr:colOff>247650</xdr:colOff>
                <xdr:row>805</xdr:row>
                <xdr:rowOff>38100</xdr:rowOff>
              </to>
            </anchor>
          </objectPr>
        </oleObject>
      </mc:Choice>
      <mc:Fallback>
        <oleObject progId="Equation.3" shapeId="1083" r:id="rId99"/>
      </mc:Fallback>
    </mc:AlternateContent>
    <mc:AlternateContent xmlns:mc="http://schemas.openxmlformats.org/markup-compatibility/2006">
      <mc:Choice Requires="x14">
        <oleObject progId="Equation.3" shapeId="1160" r:id="rId101">
          <objectPr defaultSize="0" autoPict="0" r:id="rId102">
            <anchor moveWithCells="1" sizeWithCells="1">
              <from>
                <xdr:col>1</xdr:col>
                <xdr:colOff>628650</xdr:colOff>
                <xdr:row>812</xdr:row>
                <xdr:rowOff>0</xdr:rowOff>
              </from>
              <to>
                <xdr:col>2</xdr:col>
                <xdr:colOff>123825</xdr:colOff>
                <xdr:row>813</xdr:row>
                <xdr:rowOff>19050</xdr:rowOff>
              </to>
            </anchor>
          </objectPr>
        </oleObject>
      </mc:Choice>
      <mc:Fallback>
        <oleObject progId="Equation.3" shapeId="1084" r:id="rId101"/>
      </mc:Fallback>
    </mc:AlternateContent>
    <mc:AlternateContent xmlns:mc="http://schemas.openxmlformats.org/markup-compatibility/2006">
      <mc:Choice Requires="x14">
        <oleObject progId="Equation.3" shapeId="1161" r:id="rId103">
          <objectPr defaultSize="0" autoPict="0" r:id="rId104">
            <anchor moveWithCells="1" sizeWithCells="1">
              <from>
                <xdr:col>1</xdr:col>
                <xdr:colOff>609600</xdr:colOff>
                <xdr:row>813</xdr:row>
                <xdr:rowOff>9525</xdr:rowOff>
              </from>
              <to>
                <xdr:col>2</xdr:col>
                <xdr:colOff>123825</xdr:colOff>
                <xdr:row>814</xdr:row>
                <xdr:rowOff>19050</xdr:rowOff>
              </to>
            </anchor>
          </objectPr>
        </oleObject>
      </mc:Choice>
      <mc:Fallback>
        <oleObject progId="Equation.3" shapeId="1085" r:id="rId103"/>
      </mc:Fallback>
    </mc:AlternateContent>
    <mc:AlternateContent xmlns:mc="http://schemas.openxmlformats.org/markup-compatibility/2006">
      <mc:Choice Requires="x14">
        <oleObject progId="Equation.3" shapeId="1162" r:id="rId105">
          <objectPr defaultSize="0" autoPict="0" r:id="rId106">
            <anchor moveWithCells="1" sizeWithCells="1">
              <from>
                <xdr:col>1</xdr:col>
                <xdr:colOff>609600</xdr:colOff>
                <xdr:row>814</xdr:row>
                <xdr:rowOff>0</xdr:rowOff>
              </from>
              <to>
                <xdr:col>2</xdr:col>
                <xdr:colOff>104775</xdr:colOff>
                <xdr:row>815</xdr:row>
                <xdr:rowOff>19050</xdr:rowOff>
              </to>
            </anchor>
          </objectPr>
        </oleObject>
      </mc:Choice>
      <mc:Fallback>
        <oleObject progId="Equation.3" shapeId="1086" r:id="rId105"/>
      </mc:Fallback>
    </mc:AlternateContent>
    <mc:AlternateContent xmlns:mc="http://schemas.openxmlformats.org/markup-compatibility/2006">
      <mc:Choice Requires="x14">
        <oleObject progId="Equation.3" shapeId="1163" r:id="rId107">
          <objectPr defaultSize="0" autoPict="0" r:id="rId108">
            <anchor moveWithCells="1" sizeWithCells="1">
              <from>
                <xdr:col>3</xdr:col>
                <xdr:colOff>161925</xdr:colOff>
                <xdr:row>811</xdr:row>
                <xdr:rowOff>180975</xdr:rowOff>
              </from>
              <to>
                <xdr:col>3</xdr:col>
                <xdr:colOff>428625</xdr:colOff>
                <xdr:row>815</xdr:row>
                <xdr:rowOff>38100</xdr:rowOff>
              </to>
            </anchor>
          </objectPr>
        </oleObject>
      </mc:Choice>
      <mc:Fallback>
        <oleObject progId="Equation.3" shapeId="1087" r:id="rId107"/>
      </mc:Fallback>
    </mc:AlternateContent>
    <mc:AlternateContent xmlns:mc="http://schemas.openxmlformats.org/markup-compatibility/2006">
      <mc:Choice Requires="x14">
        <oleObject progId="Equation.3" shapeId="1164" r:id="rId109">
          <objectPr defaultSize="0" autoPict="0" r:id="rId110">
            <anchor moveWithCells="1" sizeWithCells="1">
              <from>
                <xdr:col>5</xdr:col>
                <xdr:colOff>238125</xdr:colOff>
                <xdr:row>811</xdr:row>
                <xdr:rowOff>180975</xdr:rowOff>
              </from>
              <to>
                <xdr:col>5</xdr:col>
                <xdr:colOff>533400</xdr:colOff>
                <xdr:row>815</xdr:row>
                <xdr:rowOff>38100</xdr:rowOff>
              </to>
            </anchor>
          </objectPr>
        </oleObject>
      </mc:Choice>
      <mc:Fallback>
        <oleObject progId="Equation.3" shapeId="1088" r:id="rId109"/>
      </mc:Fallback>
    </mc:AlternateContent>
    <mc:AlternateContent xmlns:mc="http://schemas.openxmlformats.org/markup-compatibility/2006">
      <mc:Choice Requires="x14">
        <oleObject progId="Equation.3" shapeId="1165" r:id="rId111">
          <objectPr defaultSize="0" autoPict="0" r:id="rId112">
            <anchor moveWithCells="1" sizeWithCells="1">
              <from>
                <xdr:col>7</xdr:col>
                <xdr:colOff>190500</xdr:colOff>
                <xdr:row>811</xdr:row>
                <xdr:rowOff>180975</xdr:rowOff>
              </from>
              <to>
                <xdr:col>7</xdr:col>
                <xdr:colOff>447675</xdr:colOff>
                <xdr:row>815</xdr:row>
                <xdr:rowOff>19050</xdr:rowOff>
              </to>
            </anchor>
          </objectPr>
        </oleObject>
      </mc:Choice>
      <mc:Fallback>
        <oleObject progId="Equation.3" shapeId="1089" r:id="rId111"/>
      </mc:Fallback>
    </mc:AlternateContent>
    <mc:AlternateContent xmlns:mc="http://schemas.openxmlformats.org/markup-compatibility/2006">
      <mc:Choice Requires="x14">
        <oleObject progId="Equation.3" shapeId="1166" r:id="rId113">
          <objectPr defaultSize="0" autoPict="0" r:id="rId114">
            <anchor moveWithCells="1" sizeWithCells="1">
              <from>
                <xdr:col>2</xdr:col>
                <xdr:colOff>9525</xdr:colOff>
                <xdr:row>817</xdr:row>
                <xdr:rowOff>114300</xdr:rowOff>
              </from>
              <to>
                <xdr:col>3</xdr:col>
                <xdr:colOff>400050</xdr:colOff>
                <xdr:row>819</xdr:row>
                <xdr:rowOff>133350</xdr:rowOff>
              </to>
            </anchor>
          </objectPr>
        </oleObject>
      </mc:Choice>
      <mc:Fallback>
        <oleObject progId="Equation.3" shapeId="1090" r:id="rId113"/>
      </mc:Fallback>
    </mc:AlternateContent>
    <mc:AlternateContent xmlns:mc="http://schemas.openxmlformats.org/markup-compatibility/2006">
      <mc:Choice Requires="x14">
        <oleObject progId="Equation.3" shapeId="1167" r:id="rId115">
          <objectPr defaultSize="0" autoPict="0" r:id="rId116">
            <anchor moveWithCells="1" sizeWithCells="1">
              <from>
                <xdr:col>1</xdr:col>
                <xdr:colOff>28575</xdr:colOff>
                <xdr:row>822</xdr:row>
                <xdr:rowOff>38100</xdr:rowOff>
              </from>
              <to>
                <xdr:col>1</xdr:col>
                <xdr:colOff>190500</xdr:colOff>
                <xdr:row>822</xdr:row>
                <xdr:rowOff>190500</xdr:rowOff>
              </to>
            </anchor>
          </objectPr>
        </oleObject>
      </mc:Choice>
      <mc:Fallback>
        <oleObject progId="Equation.3" shapeId="1091" r:id="rId115"/>
      </mc:Fallback>
    </mc:AlternateContent>
    <mc:AlternateContent xmlns:mc="http://schemas.openxmlformats.org/markup-compatibility/2006">
      <mc:Choice Requires="x14">
        <oleObject progId="Equation.3" shapeId="1168" r:id="rId117">
          <objectPr defaultSize="0" autoPict="0" r:id="rId118">
            <anchor moveWithCells="1" sizeWithCells="1">
              <from>
                <xdr:col>3</xdr:col>
                <xdr:colOff>57150</xdr:colOff>
                <xdr:row>860</xdr:row>
                <xdr:rowOff>76200</xdr:rowOff>
              </from>
              <to>
                <xdr:col>5</xdr:col>
                <xdr:colOff>57150</xdr:colOff>
                <xdr:row>862</xdr:row>
                <xdr:rowOff>123825</xdr:rowOff>
              </to>
            </anchor>
          </objectPr>
        </oleObject>
      </mc:Choice>
      <mc:Fallback>
        <oleObject progId="Equation.3" shapeId="1092" r:id="rId117"/>
      </mc:Fallback>
    </mc:AlternateContent>
    <mc:AlternateContent xmlns:mc="http://schemas.openxmlformats.org/markup-compatibility/2006">
      <mc:Choice Requires="x14">
        <oleObject progId="Equation.3" shapeId="1169" r:id="rId119">
          <objectPr defaultSize="0" autoPict="0" r:id="rId120">
            <anchor moveWithCells="1" sizeWithCells="1">
              <from>
                <xdr:col>1</xdr:col>
                <xdr:colOff>600075</xdr:colOff>
                <xdr:row>853</xdr:row>
                <xdr:rowOff>180975</xdr:rowOff>
              </from>
              <to>
                <xdr:col>2</xdr:col>
                <xdr:colOff>114300</xdr:colOff>
                <xdr:row>855</xdr:row>
                <xdr:rowOff>0</xdr:rowOff>
              </to>
            </anchor>
          </objectPr>
        </oleObject>
      </mc:Choice>
      <mc:Fallback>
        <oleObject progId="Equation.3" shapeId="1093" r:id="rId119"/>
      </mc:Fallback>
    </mc:AlternateContent>
    <mc:AlternateContent xmlns:mc="http://schemas.openxmlformats.org/markup-compatibility/2006">
      <mc:Choice Requires="x14">
        <oleObject progId="Equation.3" shapeId="1170" r:id="rId121">
          <objectPr defaultSize="0" autoPict="0" r:id="rId122">
            <anchor moveWithCells="1" sizeWithCells="1">
              <from>
                <xdr:col>5</xdr:col>
                <xdr:colOff>133350</xdr:colOff>
                <xdr:row>853</xdr:row>
                <xdr:rowOff>57150</xdr:rowOff>
              </from>
              <to>
                <xdr:col>5</xdr:col>
                <xdr:colOff>371475</xdr:colOff>
                <xdr:row>854</xdr:row>
                <xdr:rowOff>76200</xdr:rowOff>
              </to>
            </anchor>
          </objectPr>
        </oleObject>
      </mc:Choice>
      <mc:Fallback>
        <oleObject progId="Equation.3" shapeId="1094" r:id="rId12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Qm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SadaF</dc:creator>
  <cp:lastModifiedBy>Usman Iftikhar</cp:lastModifiedBy>
  <cp:lastPrinted>2018-05-08T04:44:55Z</cp:lastPrinted>
  <dcterms:created xsi:type="dcterms:W3CDTF">2016-04-28T16:45:55Z</dcterms:created>
  <dcterms:modified xsi:type="dcterms:W3CDTF">2018-05-23T23:50:55Z</dcterms:modified>
</cp:coreProperties>
</file>