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D:\z 8th semester\DOS\Steel\"/>
    </mc:Choice>
  </mc:AlternateContent>
  <bookViews>
    <workbookView xWindow="0" yWindow="0" windowWidth="15345" windowHeight="4455" activeTab="1"/>
  </bookViews>
  <sheets>
    <sheet name="Sheet1" sheetId="1" r:id="rId1"/>
    <sheet name="Sheet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2" i="2" l="1"/>
  <c r="P93" i="2"/>
  <c r="P94" i="2"/>
  <c r="P95" i="2"/>
  <c r="P96" i="2"/>
  <c r="P97" i="2"/>
  <c r="P98" i="2"/>
  <c r="P99" i="2"/>
  <c r="P91" i="2"/>
  <c r="I44" i="2"/>
  <c r="O93" i="2" s="1"/>
  <c r="H29" i="2"/>
  <c r="I43" i="2" s="1"/>
  <c r="O92" i="2" s="1"/>
  <c r="H30" i="2"/>
  <c r="H31" i="2"/>
  <c r="I45" i="2" s="1"/>
  <c r="O94" i="2" s="1"/>
  <c r="H32" i="2"/>
  <c r="I46" i="2" s="1"/>
  <c r="O95" i="2" s="1"/>
  <c r="I28" i="2" l="1"/>
  <c r="H28" i="2"/>
  <c r="I42" i="2" s="1"/>
  <c r="O91" i="2" s="1"/>
  <c r="K100" i="2"/>
  <c r="J95" i="2"/>
  <c r="J94" i="2"/>
  <c r="L90" i="2"/>
  <c r="J87" i="2"/>
  <c r="J86" i="2"/>
  <c r="J88" i="2" s="1"/>
  <c r="J80" i="2"/>
  <c r="R92" i="2" l="1"/>
  <c r="R96" i="2"/>
  <c r="R91" i="2"/>
  <c r="R95" i="2"/>
  <c r="R93" i="2"/>
  <c r="R97" i="2"/>
  <c r="R99" i="2"/>
  <c r="R94" i="2"/>
  <c r="R98" i="2"/>
  <c r="F7" i="1"/>
  <c r="F9" i="1" l="1"/>
  <c r="F15" i="1" l="1"/>
  <c r="F27" i="1" s="1"/>
  <c r="F13" i="1"/>
  <c r="F11" i="1"/>
  <c r="E2" i="2" l="1"/>
  <c r="D15" i="2" s="1"/>
  <c r="F15" i="2" s="1"/>
  <c r="J27" i="1"/>
  <c r="J28" i="1" s="1"/>
  <c r="F28" i="1"/>
  <c r="K16" i="1" s="1"/>
  <c r="F26" i="1"/>
  <c r="E6" i="2" s="1"/>
  <c r="K60" i="2" s="1"/>
  <c r="F25" i="1"/>
  <c r="K99" i="2" s="1"/>
  <c r="F31" i="1"/>
  <c r="E15" i="2" l="1"/>
  <c r="G2" i="2"/>
  <c r="H15" i="2"/>
  <c r="G15" i="2"/>
  <c r="D16" i="2"/>
  <c r="I29" i="2"/>
  <c r="K101" i="2"/>
  <c r="H101" i="2"/>
  <c r="K14" i="1"/>
  <c r="F33" i="1"/>
  <c r="J20" i="1" s="1"/>
  <c r="F32" i="1"/>
  <c r="F34" i="1"/>
  <c r="K10" i="1"/>
  <c r="K8" i="1"/>
  <c r="K6" i="1"/>
  <c r="K27" i="1"/>
  <c r="K28" i="1" s="1"/>
  <c r="E16" i="2" l="1"/>
  <c r="H16" i="2"/>
  <c r="G16" i="2"/>
  <c r="F16" i="2"/>
  <c r="O16" i="1"/>
  <c r="E4" i="2" s="1"/>
  <c r="E3" i="2"/>
  <c r="K24" i="1"/>
  <c r="R10" i="1" s="1"/>
  <c r="T10" i="1" s="1"/>
  <c r="Q18" i="1"/>
  <c r="Q16" i="1"/>
  <c r="Q6" i="1"/>
  <c r="S17" i="1"/>
  <c r="S16" i="1"/>
  <c r="S6" i="1"/>
  <c r="S18" i="1"/>
  <c r="R18" i="1"/>
  <c r="T18" i="1" s="1"/>
  <c r="R16" i="1"/>
  <c r="Q19" i="1"/>
  <c r="Q17" i="1"/>
  <c r="S19" i="1"/>
  <c r="K30" i="1"/>
  <c r="K29" i="1" s="1"/>
  <c r="R20" i="1" s="1"/>
  <c r="T20" i="1" s="1"/>
  <c r="K22" i="1"/>
  <c r="R8" i="1" s="1"/>
  <c r="T8" i="1" s="1"/>
  <c r="K20" i="1"/>
  <c r="T6" i="1" s="1"/>
  <c r="K25" i="1"/>
  <c r="K26" i="1" s="1"/>
  <c r="R14" i="1" s="1"/>
  <c r="T14" i="1" s="1"/>
  <c r="O18" i="1"/>
  <c r="T16" i="1" l="1"/>
  <c r="P16" i="2"/>
  <c r="D17" i="2"/>
  <c r="I30" i="2"/>
  <c r="Q15" i="2"/>
  <c r="P15" i="2"/>
  <c r="Q16" i="2"/>
  <c r="Q14" i="2"/>
  <c r="P14" i="2"/>
  <c r="U17" i="1"/>
  <c r="R22" i="1"/>
  <c r="T22" i="1" s="1"/>
  <c r="R6" i="1"/>
  <c r="R12" i="1"/>
  <c r="S7" i="1"/>
  <c r="Q7" i="1"/>
  <c r="V17" i="1"/>
  <c r="U19" i="1"/>
  <c r="V19" i="1"/>
  <c r="O6" i="1"/>
  <c r="J22" i="1"/>
  <c r="J29" i="1"/>
  <c r="J24" i="1"/>
  <c r="T12" i="1" l="1"/>
  <c r="K43" i="2"/>
  <c r="H17" i="2"/>
  <c r="Q17" i="2" s="1"/>
  <c r="P17" i="2"/>
  <c r="E17" i="2"/>
  <c r="F17" i="2"/>
  <c r="G17" i="2"/>
  <c r="K44" i="2"/>
  <c r="K42" i="2"/>
  <c r="Q10" i="1"/>
  <c r="S10" i="1"/>
  <c r="S20" i="1"/>
  <c r="Q20" i="1"/>
  <c r="Q8" i="1"/>
  <c r="S8" i="1"/>
  <c r="Q21" i="1"/>
  <c r="S21" i="1"/>
  <c r="S9" i="1"/>
  <c r="Q9" i="1"/>
  <c r="S11" i="1"/>
  <c r="Q11" i="1"/>
  <c r="O10" i="1"/>
  <c r="J25" i="1"/>
  <c r="O8" i="1"/>
  <c r="U7" i="1"/>
  <c r="V7" i="1"/>
  <c r="J30" i="1"/>
  <c r="O20" i="1"/>
  <c r="K45" i="2" l="1"/>
  <c r="J91" i="2" s="1"/>
  <c r="D18" i="2"/>
  <c r="I31" i="2"/>
  <c r="Q12" i="1"/>
  <c r="S12" i="1"/>
  <c r="Q22" i="1"/>
  <c r="S22" i="1"/>
  <c r="S23" i="1"/>
  <c r="Q23" i="1"/>
  <c r="S13" i="1"/>
  <c r="Q13" i="1"/>
  <c r="O12" i="1"/>
  <c r="E5" i="2" s="1"/>
  <c r="J26" i="1"/>
  <c r="V11" i="1"/>
  <c r="U11" i="1"/>
  <c r="V21" i="1"/>
  <c r="U21" i="1"/>
  <c r="O22" i="1"/>
  <c r="U9" i="1"/>
  <c r="V9" i="1"/>
  <c r="I91" i="2" l="1"/>
  <c r="K15" i="2"/>
  <c r="I15" i="2"/>
  <c r="M15" i="2"/>
  <c r="J15" i="2"/>
  <c r="J29" i="2" s="1"/>
  <c r="L15" i="2"/>
  <c r="J16" i="2"/>
  <c r="J30" i="2" s="1"/>
  <c r="M16" i="2"/>
  <c r="I16" i="2"/>
  <c r="K16" i="2"/>
  <c r="L16" i="2"/>
  <c r="L30" i="2" s="1"/>
  <c r="M17" i="2"/>
  <c r="L17" i="2"/>
  <c r="L31" i="2" s="1"/>
  <c r="J17" i="2"/>
  <c r="J31" i="2" s="1"/>
  <c r="I17" i="2"/>
  <c r="K17" i="2"/>
  <c r="K31" i="2" s="1"/>
  <c r="P18" i="2"/>
  <c r="I18" i="2"/>
  <c r="E18" i="2"/>
  <c r="J18" i="2" s="1"/>
  <c r="J32" i="2" s="1"/>
  <c r="H18" i="2"/>
  <c r="M18" i="2" s="1"/>
  <c r="F18" i="2"/>
  <c r="K18" i="2" s="1"/>
  <c r="G18" i="2"/>
  <c r="L18" i="2" s="1"/>
  <c r="L32" i="2" s="1"/>
  <c r="L29" i="2"/>
  <c r="K29" i="2"/>
  <c r="K30" i="2"/>
  <c r="M14" i="2"/>
  <c r="L14" i="2"/>
  <c r="L28" i="2" s="1"/>
  <c r="J14" i="2"/>
  <c r="J28" i="2" s="1"/>
  <c r="K14" i="2"/>
  <c r="K28" i="2" s="1"/>
  <c r="I14" i="2"/>
  <c r="J2" i="2"/>
  <c r="Q14" i="1"/>
  <c r="S14" i="1"/>
  <c r="S15" i="1"/>
  <c r="Q15" i="1"/>
  <c r="O14" i="1"/>
  <c r="U23" i="1"/>
  <c r="V23" i="1"/>
  <c r="V13" i="1"/>
  <c r="U13" i="1"/>
  <c r="N16" i="2" l="1"/>
  <c r="O16" i="2" s="1"/>
  <c r="Q18" i="2"/>
  <c r="K46" i="2" s="1"/>
  <c r="N18" i="2"/>
  <c r="O18" i="2" s="1"/>
  <c r="D19" i="2"/>
  <c r="I32" i="2"/>
  <c r="N17" i="2"/>
  <c r="O17" i="2" s="1"/>
  <c r="N15" i="2"/>
  <c r="O15" i="2" s="1"/>
  <c r="K32" i="2"/>
  <c r="J44" i="2"/>
  <c r="N14" i="2"/>
  <c r="J42" i="2" s="1"/>
  <c r="S91" i="2" s="1"/>
  <c r="T91" i="2" s="1"/>
  <c r="V15" i="1"/>
  <c r="U15" i="1"/>
  <c r="J46" i="2" l="1"/>
  <c r="K53" i="2" s="1"/>
  <c r="L61" i="2" s="1"/>
  <c r="J45" i="2"/>
  <c r="S94" i="2" s="1"/>
  <c r="T94" i="2" s="1"/>
  <c r="J43" i="2"/>
  <c r="S92" i="2" s="1"/>
  <c r="T92" i="2" s="1"/>
  <c r="M31" i="2"/>
  <c r="H19" i="2"/>
  <c r="Q19" i="2" s="1"/>
  <c r="P19" i="2"/>
  <c r="I19" i="2"/>
  <c r="E19" i="2"/>
  <c r="J19" i="2" s="1"/>
  <c r="G19" i="2"/>
  <c r="L19" i="2" s="1"/>
  <c r="L33" i="2" s="1"/>
  <c r="F19" i="2"/>
  <c r="K19" i="2" s="1"/>
  <c r="K33" i="2" s="1"/>
  <c r="N31" i="2"/>
  <c r="M45" i="2"/>
  <c r="S93" i="2"/>
  <c r="T93" i="2" s="1"/>
  <c r="M30" i="2"/>
  <c r="M29" i="2"/>
  <c r="M32" i="2"/>
  <c r="O14" i="2"/>
  <c r="N28" i="2" s="1"/>
  <c r="M28" i="2"/>
  <c r="S95" i="2" l="1"/>
  <c r="T95" i="2" s="1"/>
  <c r="C19" i="2"/>
  <c r="H33" i="2" s="1"/>
  <c r="I47" i="2" s="1"/>
  <c r="O96" i="2" s="1"/>
  <c r="N45" i="2"/>
  <c r="J33" i="2"/>
  <c r="K47" i="2"/>
  <c r="M42" i="2"/>
  <c r="N42" i="2" s="1"/>
  <c r="M19" i="2"/>
  <c r="N19" i="2" s="1"/>
  <c r="D20" i="2"/>
  <c r="I33" i="2"/>
  <c r="I81" i="2"/>
  <c r="J81" i="2"/>
  <c r="N32" i="2"/>
  <c r="M46" i="2"/>
  <c r="N46" i="2" s="1"/>
  <c r="N29" i="2"/>
  <c r="M43" i="2"/>
  <c r="N43" i="2" s="1"/>
  <c r="N30" i="2"/>
  <c r="M44" i="2"/>
  <c r="N44" i="2" s="1"/>
  <c r="J47" i="2" l="1"/>
  <c r="S96" i="2" s="1"/>
  <c r="T96" i="2" s="1"/>
  <c r="M33" i="2"/>
  <c r="O19" i="2"/>
  <c r="H20" i="2"/>
  <c r="Q20" i="2" s="1"/>
  <c r="P20" i="2"/>
  <c r="I20" i="2"/>
  <c r="F20" i="2"/>
  <c r="K20" i="2" s="1"/>
  <c r="K34" i="2" s="1"/>
  <c r="G20" i="2"/>
  <c r="L20" i="2" s="1"/>
  <c r="L34" i="2" s="1"/>
  <c r="E20" i="2"/>
  <c r="J20" i="2" s="1"/>
  <c r="J34" i="2" s="1"/>
  <c r="M20" i="2" l="1"/>
  <c r="N20" i="2" s="1"/>
  <c r="C20" i="2"/>
  <c r="H34" i="2" s="1"/>
  <c r="I48" i="2" s="1"/>
  <c r="O97" i="2" s="1"/>
  <c r="D21" i="2"/>
  <c r="I34" i="2"/>
  <c r="N33" i="2"/>
  <c r="M47" i="2"/>
  <c r="K48" i="2"/>
  <c r="N47" i="2" l="1"/>
  <c r="H21" i="2"/>
  <c r="N21" i="2"/>
  <c r="M21" i="2"/>
  <c r="K21" i="2"/>
  <c r="K35" i="2" s="1"/>
  <c r="J21" i="2"/>
  <c r="J35" i="2" s="1"/>
  <c r="I21" i="2"/>
  <c r="C21" i="2"/>
  <c r="H35" i="2" s="1"/>
  <c r="I49" i="2" s="1"/>
  <c r="O98" i="2" s="1"/>
  <c r="Q21" i="2"/>
  <c r="P21" i="2"/>
  <c r="O21" i="2"/>
  <c r="L21" i="2"/>
  <c r="L35" i="2" s="1"/>
  <c r="F21" i="2"/>
  <c r="E21" i="2"/>
  <c r="G21" i="2"/>
  <c r="J48" i="2"/>
  <c r="S97" i="2" s="1"/>
  <c r="T97" i="2" s="1"/>
  <c r="M34" i="2"/>
  <c r="O20" i="2"/>
  <c r="K49" i="2" l="1"/>
  <c r="M48" i="2"/>
  <c r="N34" i="2"/>
  <c r="D22" i="2"/>
  <c r="I35" i="2"/>
  <c r="M49" i="2"/>
  <c r="N35" i="2"/>
  <c r="J49" i="2"/>
  <c r="S98" i="2" s="1"/>
  <c r="T98" i="2" s="1"/>
  <c r="M35" i="2"/>
  <c r="H22" i="2" l="1"/>
  <c r="I36" i="2" s="1"/>
  <c r="C22" i="2"/>
  <c r="H36" i="2" s="1"/>
  <c r="I50" i="2" s="1"/>
  <c r="O99" i="2" s="1"/>
  <c r="Q22" i="2"/>
  <c r="P22" i="2"/>
  <c r="O22" i="2"/>
  <c r="N22" i="2"/>
  <c r="M22" i="2"/>
  <c r="L22" i="2"/>
  <c r="L36" i="2" s="1"/>
  <c r="K22" i="2"/>
  <c r="K36" i="2" s="1"/>
  <c r="J22" i="2"/>
  <c r="J36" i="2" s="1"/>
  <c r="I22" i="2"/>
  <c r="E22" i="2"/>
  <c r="G22" i="2"/>
  <c r="F22" i="2"/>
  <c r="N49" i="2"/>
  <c r="N48" i="2"/>
  <c r="J76" i="2"/>
  <c r="I78" i="2" s="1"/>
  <c r="K50" i="2" l="1"/>
  <c r="J50" i="2"/>
  <c r="S99" i="2" s="1"/>
  <c r="T99" i="2" s="1"/>
  <c r="M36" i="2"/>
  <c r="N36" i="2"/>
  <c r="M50" i="2"/>
  <c r="N50" i="2" l="1"/>
</calcChain>
</file>

<file path=xl/sharedStrings.xml><?xml version="1.0" encoding="utf-8"?>
<sst xmlns="http://schemas.openxmlformats.org/spreadsheetml/2006/main" count="187" uniqueCount="135">
  <si>
    <t>N=</t>
  </si>
  <si>
    <t>R=</t>
  </si>
  <si>
    <t>Span</t>
  </si>
  <si>
    <t>L=</t>
  </si>
  <si>
    <t>m</t>
  </si>
  <si>
    <t>Height</t>
  </si>
  <si>
    <t>h=</t>
  </si>
  <si>
    <t>R/60=</t>
  </si>
  <si>
    <t>R/100=</t>
  </si>
  <si>
    <t>R/120=</t>
  </si>
  <si>
    <t>C-C Spacing of Frames=</t>
  </si>
  <si>
    <t>N/m2</t>
  </si>
  <si>
    <t>Assuming Self Weight of the Girder is Included in Dead Load</t>
  </si>
  <si>
    <t>kN/m</t>
  </si>
  <si>
    <t>I1=</t>
  </si>
  <si>
    <t>I1</t>
  </si>
  <si>
    <t>k=</t>
  </si>
  <si>
    <t>N1=</t>
  </si>
  <si>
    <t>N2=</t>
  </si>
  <si>
    <t>Gravity Loads</t>
  </si>
  <si>
    <t>1.2WD+1.6WL=</t>
  </si>
  <si>
    <r>
      <t>1.2W</t>
    </r>
    <r>
      <rPr>
        <sz val="8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+1.6W</t>
    </r>
    <r>
      <rPr>
        <sz val="8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>=</t>
    </r>
  </si>
  <si>
    <r>
      <t>0.9W</t>
    </r>
    <r>
      <rPr>
        <sz val="8"/>
        <color theme="1"/>
        <rFont val="Calibri"/>
        <family val="2"/>
        <scheme val="minor"/>
      </rPr>
      <t>D+1.3</t>
    </r>
    <r>
      <rPr>
        <sz val="11"/>
        <color theme="1"/>
        <rFont val="Calibri"/>
        <family val="2"/>
        <scheme val="minor"/>
      </rPr>
      <t>W</t>
    </r>
    <r>
      <rPr>
        <sz val="8"/>
        <color theme="1"/>
        <rFont val="Calibri"/>
        <family val="2"/>
        <scheme val="minor"/>
      </rPr>
      <t>WR</t>
    </r>
    <r>
      <rPr>
        <sz val="11"/>
        <color theme="1"/>
        <rFont val="Calibri"/>
        <family val="2"/>
        <scheme val="minor"/>
      </rPr>
      <t>=</t>
    </r>
  </si>
  <si>
    <r>
      <t>1.2W</t>
    </r>
    <r>
      <rPr>
        <sz val="8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+0.5W</t>
    </r>
    <r>
      <rPr>
        <sz val="8"/>
        <color theme="1"/>
        <rFont val="Calibri"/>
        <family val="2"/>
        <scheme val="minor"/>
      </rPr>
      <t>L+1.3</t>
    </r>
    <r>
      <rPr>
        <sz val="11"/>
        <color theme="1"/>
        <rFont val="Calibri"/>
        <family val="2"/>
        <scheme val="minor"/>
      </rPr>
      <t>W</t>
    </r>
    <r>
      <rPr>
        <sz val="8"/>
        <color theme="1"/>
        <rFont val="Calibri"/>
        <family val="2"/>
        <scheme val="minor"/>
      </rPr>
      <t>WR</t>
    </r>
    <r>
      <rPr>
        <sz val="11"/>
        <color theme="1"/>
        <rFont val="Calibri"/>
        <family val="2"/>
        <scheme val="minor"/>
      </rPr>
      <t>=</t>
    </r>
  </si>
  <si>
    <t>Wind Loads</t>
  </si>
  <si>
    <r>
      <t>1.3W</t>
    </r>
    <r>
      <rPr>
        <sz val="8"/>
        <color theme="1"/>
        <rFont val="Calibri"/>
        <family val="2"/>
        <scheme val="minor"/>
      </rPr>
      <t>WL</t>
    </r>
    <r>
      <rPr>
        <sz val="11"/>
        <color theme="1"/>
        <rFont val="Calibri"/>
        <family val="2"/>
        <scheme val="minor"/>
      </rPr>
      <t>=</t>
    </r>
  </si>
  <si>
    <t>Forces</t>
  </si>
  <si>
    <t>G.L.A.</t>
  </si>
  <si>
    <t>W.L.A.</t>
  </si>
  <si>
    <t>MA (kNm)</t>
  </si>
  <si>
    <t>MD (kNm)</t>
  </si>
  <si>
    <t>MC (kNm)</t>
  </si>
  <si>
    <t>MB (kNm)</t>
  </si>
  <si>
    <t>Mmax (kNm)</t>
  </si>
  <si>
    <t>VA (kN)</t>
  </si>
  <si>
    <t>VD (kN)</t>
  </si>
  <si>
    <t>HA (kN)</t>
  </si>
  <si>
    <t>HD (kN)</t>
  </si>
  <si>
    <t>MA (kNm)/w</t>
  </si>
  <si>
    <t>MD (kNm)/w</t>
  </si>
  <si>
    <t>MC (kNm)/w</t>
  </si>
  <si>
    <t>MB (kNm)/w</t>
  </si>
  <si>
    <t>Mmax (kNm)/w</t>
  </si>
  <si>
    <t>VA (kN)/w</t>
  </si>
  <si>
    <t>VD (kN)/w</t>
  </si>
  <si>
    <t>HA (kN)/w</t>
  </si>
  <si>
    <t>HD (kN)/w</t>
  </si>
  <si>
    <t>1.2WD+0.5WL+1.3WWR=</t>
  </si>
  <si>
    <t>0.9WD+1.3WWR=</t>
  </si>
  <si>
    <t xml:space="preserve">     I2=</t>
  </si>
  <si>
    <t>Sag/Compression</t>
  </si>
  <si>
    <t>Hog/Tension</t>
  </si>
  <si>
    <r>
      <t>W</t>
    </r>
    <r>
      <rPr>
        <b/>
        <sz val="8"/>
        <color theme="1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=</t>
    </r>
  </si>
  <si>
    <r>
      <t>W</t>
    </r>
    <r>
      <rPr>
        <b/>
        <sz val="8"/>
        <color theme="1"/>
        <rFont val="Calibri"/>
        <family val="2"/>
        <scheme val="minor"/>
      </rPr>
      <t>L</t>
    </r>
    <r>
      <rPr>
        <b/>
        <sz val="11"/>
        <color theme="1"/>
        <rFont val="Calibri"/>
        <family val="2"/>
        <scheme val="minor"/>
      </rPr>
      <t>=</t>
    </r>
  </si>
  <si>
    <r>
      <t>W</t>
    </r>
    <r>
      <rPr>
        <b/>
        <sz val="8"/>
        <color theme="1"/>
        <rFont val="Calibri"/>
        <family val="2"/>
        <scheme val="minor"/>
      </rPr>
      <t>WR</t>
    </r>
    <r>
      <rPr>
        <b/>
        <sz val="11"/>
        <color theme="1"/>
        <rFont val="Calibri"/>
        <family val="2"/>
        <scheme val="minor"/>
      </rPr>
      <t>=</t>
    </r>
  </si>
  <si>
    <r>
      <t>W</t>
    </r>
    <r>
      <rPr>
        <b/>
        <sz val="8"/>
        <color theme="1"/>
        <rFont val="Calibri"/>
        <family val="2"/>
        <scheme val="minor"/>
      </rPr>
      <t>WL</t>
    </r>
    <r>
      <rPr>
        <b/>
        <sz val="11"/>
        <color theme="1"/>
        <rFont val="Calibri"/>
        <family val="2"/>
        <scheme val="minor"/>
      </rPr>
      <t>=</t>
    </r>
  </si>
  <si>
    <t xml:space="preserve">          ft6666               </t>
  </si>
  <si>
    <t xml:space="preserve">     </t>
  </si>
  <si>
    <t>Va</t>
  </si>
  <si>
    <t>Mb</t>
  </si>
  <si>
    <t>Ma</t>
  </si>
  <si>
    <t>Mc</t>
  </si>
  <si>
    <t>Mmax</t>
  </si>
  <si>
    <t>Cb</t>
  </si>
  <si>
    <t>cb</t>
  </si>
  <si>
    <t>wu</t>
  </si>
  <si>
    <t>l</t>
  </si>
  <si>
    <t>Portion</t>
  </si>
  <si>
    <t>BE</t>
  </si>
  <si>
    <t>EF</t>
  </si>
  <si>
    <t>FG</t>
  </si>
  <si>
    <t>GH</t>
  </si>
  <si>
    <t>HI</t>
  </si>
  <si>
    <t>Vu0</t>
  </si>
  <si>
    <t>vu2</t>
  </si>
  <si>
    <t>At start</t>
  </si>
  <si>
    <t>at end</t>
  </si>
  <si>
    <t>Vumax</t>
  </si>
  <si>
    <t>Lb</t>
  </si>
  <si>
    <t>Mu eq</t>
  </si>
  <si>
    <t>Mu eq =</t>
  </si>
  <si>
    <t>KN-m</t>
  </si>
  <si>
    <t>KN</t>
  </si>
  <si>
    <t>wl</t>
  </si>
  <si>
    <t>Delta allow</t>
  </si>
  <si>
    <t>l/360</t>
  </si>
  <si>
    <t>Delta act</t>
  </si>
  <si>
    <t>wl*L^4/(384*E*I)</t>
  </si>
  <si>
    <t>from above line</t>
  </si>
  <si>
    <t>Imin=</t>
  </si>
  <si>
    <t>Zxreq=</t>
  </si>
  <si>
    <t>trial section</t>
  </si>
  <si>
    <t>QbMp</t>
  </si>
  <si>
    <t>QbMr</t>
  </si>
  <si>
    <t>Lp</t>
  </si>
  <si>
    <t>Lr</t>
  </si>
  <si>
    <t>BF</t>
  </si>
  <si>
    <t>d</t>
  </si>
  <si>
    <t>b/(2*tf)</t>
  </si>
  <si>
    <t>h/tw</t>
  </si>
  <si>
    <t>Lm=</t>
  </si>
  <si>
    <t>&lt; Lr</t>
  </si>
  <si>
    <t>Lb&lt;Lm    So,</t>
  </si>
  <si>
    <t>Check 1:</t>
  </si>
  <si>
    <t>QbMn</t>
  </si>
  <si>
    <t>Zx</t>
  </si>
  <si>
    <t>Shear Check</t>
  </si>
  <si>
    <t>check 2:</t>
  </si>
  <si>
    <t>h/tw&lt;=2.24*sqrt(E/Fy)</t>
  </si>
  <si>
    <t>h/tw=</t>
  </si>
  <si>
    <t>2.24*sqrt(E/Fy)</t>
  </si>
  <si>
    <t>So,</t>
  </si>
  <si>
    <t xml:space="preserve">QVn= </t>
  </si>
  <si>
    <t>0.9*0.6*Fy*Aw*C=</t>
  </si>
  <si>
    <t>tw</t>
  </si>
  <si>
    <t>Check 3:</t>
  </si>
  <si>
    <t>Compactness Check</t>
  </si>
  <si>
    <t>b/(2*tf)&lt;10.7</t>
  </si>
  <si>
    <t>h/tw&lt;106.7</t>
  </si>
  <si>
    <t>Check 4:</t>
  </si>
  <si>
    <t>Self Weight Check</t>
  </si>
  <si>
    <t>Assumed Weight=10%(dead load)=</t>
  </si>
  <si>
    <t>Weight</t>
  </si>
  <si>
    <t>Self Weight=</t>
  </si>
  <si>
    <t>Distance</t>
  </si>
  <si>
    <t>Delta allow=Delta act</t>
  </si>
  <si>
    <t>Mu/(Q*fy)=</t>
  </si>
  <si>
    <t>PORTION</t>
  </si>
  <si>
    <t>LB</t>
  </si>
  <si>
    <t>CONDITION</t>
  </si>
  <si>
    <t>Mu</t>
  </si>
  <si>
    <t>check</t>
  </si>
  <si>
    <t>Lb&lt;Lm</t>
  </si>
  <si>
    <t>W410 x 60</t>
  </si>
  <si>
    <t>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</si>
</sst>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rgb="FFFF0000"/>
      <name val="Times New Roman"/>
      <family val="1"/>
    </font>
    <font>
      <sz val="3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1" fillId="5" borderId="4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0" fillId="0" borderId="4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zoomScale="84" zoomScaleNormal="84" workbookViewId="0">
      <selection activeCell="H1" sqref="H1:S3"/>
    </sheetView>
  </sheetViews>
  <sheetFormatPr defaultRowHeight="15" x14ac:dyDescent="0.25"/>
  <cols>
    <col min="1" max="1" width="9.140625" style="1"/>
    <col min="2" max="2" width="9.140625" style="1" customWidth="1"/>
    <col min="3" max="3" width="11.28515625" style="1" customWidth="1"/>
    <col min="4" max="4" width="12.42578125" style="1" customWidth="1"/>
    <col min="5" max="6" width="9.140625" style="1"/>
    <col min="7" max="7" width="12.5703125" style="1" customWidth="1"/>
    <col min="8" max="8" width="9.140625" style="1"/>
    <col min="9" max="9" width="16.7109375" style="1" customWidth="1"/>
    <col min="10" max="10" width="11.5703125" style="1" customWidth="1"/>
    <col min="11" max="11" width="11" style="1" customWidth="1"/>
    <col min="12" max="13" width="9.140625" style="1"/>
    <col min="14" max="14" width="17.42578125" style="1" customWidth="1"/>
    <col min="15" max="15" width="9.42578125" style="1" customWidth="1"/>
    <col min="16" max="16" width="9.140625" style="1"/>
    <col min="17" max="17" width="12.7109375" style="1" customWidth="1"/>
    <col min="18" max="18" width="12.42578125" style="1" customWidth="1"/>
    <col min="19" max="19" width="11" style="1" customWidth="1"/>
    <col min="20" max="20" width="10.85546875" style="1" customWidth="1"/>
    <col min="21" max="21" width="18.5703125" style="1" customWidth="1"/>
    <col min="22" max="22" width="18.7109375" style="1" customWidth="1"/>
    <col min="23" max="16384" width="9.140625" style="1"/>
  </cols>
  <sheetData>
    <row r="1" spans="1:22" ht="15" customHeight="1" x14ac:dyDescent="0.25"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</row>
    <row r="2" spans="1:22" ht="15" customHeight="1" x14ac:dyDescent="0.25"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1:22" ht="15" customHeight="1" x14ac:dyDescent="0.25"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</row>
    <row r="4" spans="1:22" ht="15.75" thickBot="1" x14ac:dyDescent="0.3">
      <c r="F4" s="1" t="s">
        <v>56</v>
      </c>
      <c r="H4" s="1" t="s">
        <v>57</v>
      </c>
    </row>
    <row r="5" spans="1:22" s="2" customFormat="1" ht="16.5" thickBot="1" x14ac:dyDescent="0.3">
      <c r="A5" s="1"/>
      <c r="B5" s="4"/>
      <c r="C5" s="24"/>
      <c r="D5" s="25" t="s">
        <v>0</v>
      </c>
      <c r="E5" s="26"/>
      <c r="F5" s="27">
        <v>133</v>
      </c>
      <c r="I5" s="130" t="s">
        <v>19</v>
      </c>
      <c r="J5" s="127"/>
      <c r="K5" s="127"/>
      <c r="L5" s="131"/>
      <c r="M5" s="28"/>
      <c r="N5" s="21" t="s">
        <v>26</v>
      </c>
      <c r="O5" s="127" t="s">
        <v>20</v>
      </c>
      <c r="P5" s="127"/>
      <c r="Q5" s="127" t="s">
        <v>47</v>
      </c>
      <c r="R5" s="127"/>
      <c r="S5" s="127" t="s">
        <v>48</v>
      </c>
      <c r="T5" s="129"/>
      <c r="U5" s="22" t="s">
        <v>50</v>
      </c>
      <c r="V5" s="23" t="s">
        <v>51</v>
      </c>
    </row>
    <row r="6" spans="1:22" s="2" customFormat="1" ht="15.75" x14ac:dyDescent="0.25">
      <c r="A6" s="1"/>
      <c r="B6" s="4"/>
      <c r="C6" s="29"/>
      <c r="D6" s="30"/>
      <c r="E6" s="31"/>
      <c r="F6" s="117"/>
      <c r="I6" s="136" t="s">
        <v>21</v>
      </c>
      <c r="J6" s="137"/>
      <c r="K6" s="139">
        <f>1.2*F25+1.6*F26</f>
        <v>17.793333333333337</v>
      </c>
      <c r="L6" s="141" t="s">
        <v>13</v>
      </c>
      <c r="M6" s="28"/>
      <c r="N6" s="153" t="s">
        <v>29</v>
      </c>
      <c r="O6" s="165">
        <f>J20*$K$6</f>
        <v>87.521526447424463</v>
      </c>
      <c r="P6" s="137"/>
      <c r="Q6" s="14">
        <f>$K$8*J20</f>
        <v>17.295154582900963</v>
      </c>
      <c r="R6" s="15">
        <f>K14*K20</f>
        <v>-200.73565862370634</v>
      </c>
      <c r="S6" s="14">
        <f>K10*J20</f>
        <v>-7.6420450482585727</v>
      </c>
      <c r="T6" s="16">
        <f>K16*K20</f>
        <v>-200.73565862370634</v>
      </c>
      <c r="U6" s="17"/>
      <c r="V6" s="18"/>
    </row>
    <row r="7" spans="1:22" s="2" customFormat="1" x14ac:dyDescent="0.25">
      <c r="A7" s="1"/>
      <c r="B7" s="4"/>
      <c r="C7" s="32"/>
      <c r="D7" s="33" t="s">
        <v>1</v>
      </c>
      <c r="E7" s="34"/>
      <c r="F7" s="35">
        <f>600+F5+4*(F5-120)</f>
        <v>785</v>
      </c>
      <c r="I7" s="138"/>
      <c r="J7" s="128"/>
      <c r="K7" s="140"/>
      <c r="L7" s="142"/>
      <c r="N7" s="154"/>
      <c r="O7" s="125"/>
      <c r="P7" s="128"/>
      <c r="Q7" s="125">
        <f>J20*$K$8+K20*$K$14</f>
        <v>-183.44050404080537</v>
      </c>
      <c r="R7" s="128"/>
      <c r="S7" s="125">
        <f>J20*$K$10+K20*$K$16</f>
        <v>-208.37770367196492</v>
      </c>
      <c r="T7" s="126"/>
      <c r="U7" s="5">
        <f>MAX(O7:T7)</f>
        <v>-183.44050404080537</v>
      </c>
      <c r="V7" s="6">
        <f>MIN(O7:T7)</f>
        <v>-208.37770367196492</v>
      </c>
    </row>
    <row r="8" spans="1:22" s="2" customFormat="1" x14ac:dyDescent="0.25">
      <c r="A8" s="1"/>
      <c r="B8" s="4"/>
      <c r="C8" s="36"/>
      <c r="D8" s="37"/>
      <c r="E8" s="38"/>
      <c r="F8" s="39"/>
      <c r="I8" s="143" t="s">
        <v>23</v>
      </c>
      <c r="J8" s="144"/>
      <c r="K8" s="145">
        <f>1.2*F25+0.5*F26+1.3*F27</f>
        <v>3.516145833333332</v>
      </c>
      <c r="L8" s="146" t="s">
        <v>13</v>
      </c>
      <c r="N8" s="155" t="s">
        <v>30</v>
      </c>
      <c r="O8" s="151">
        <f>J22*$K$6</f>
        <v>87.521526447424463</v>
      </c>
      <c r="P8" s="144"/>
      <c r="Q8" s="9">
        <f>$K$8*J22</f>
        <v>17.295154582900963</v>
      </c>
      <c r="R8" s="10">
        <f>K14*K22</f>
        <v>105.30019120946426</v>
      </c>
      <c r="S8" s="9">
        <f>K10*J22</f>
        <v>-7.6420450482585727</v>
      </c>
      <c r="T8" s="10">
        <f>R8</f>
        <v>105.30019120946426</v>
      </c>
      <c r="U8" s="5"/>
      <c r="V8" s="6"/>
    </row>
    <row r="9" spans="1:22" s="2" customFormat="1" x14ac:dyDescent="0.25">
      <c r="A9" s="1"/>
      <c r="B9" s="4"/>
      <c r="C9" s="36"/>
      <c r="D9" s="40" t="s">
        <v>1</v>
      </c>
      <c r="E9" s="38"/>
      <c r="F9" s="41">
        <f>F7</f>
        <v>785</v>
      </c>
      <c r="I9" s="138"/>
      <c r="J9" s="128"/>
      <c r="K9" s="140"/>
      <c r="L9" s="142"/>
      <c r="N9" s="154"/>
      <c r="O9" s="125"/>
      <c r="P9" s="128"/>
      <c r="Q9" s="125">
        <f>J22*$K$8+K22*$K$14</f>
        <v>122.59534579236522</v>
      </c>
      <c r="R9" s="128"/>
      <c r="S9" s="125">
        <f>J22*$K$10+K22*$K$16</f>
        <v>97.658146161205693</v>
      </c>
      <c r="T9" s="126"/>
      <c r="U9" s="3">
        <f t="shared" ref="U9:U23" si="0">MAX(O9:T9)</f>
        <v>122.59534579236522</v>
      </c>
      <c r="V9" s="7">
        <f t="shared" ref="V9:V23" si="1">MIN(O9:T9)</f>
        <v>97.658146161205693</v>
      </c>
    </row>
    <row r="10" spans="1:22" s="2" customFormat="1" ht="15.75" thickBot="1" x14ac:dyDescent="0.3">
      <c r="A10" s="1"/>
      <c r="B10" s="4"/>
      <c r="C10" s="36"/>
      <c r="D10" s="40"/>
      <c r="E10" s="38"/>
      <c r="F10" s="118"/>
      <c r="I10" s="143" t="s">
        <v>22</v>
      </c>
      <c r="J10" s="144"/>
      <c r="K10" s="145">
        <f>0.9*F25+1.3*F27</f>
        <v>-1.5536458333333343</v>
      </c>
      <c r="L10" s="146" t="s">
        <v>13</v>
      </c>
      <c r="N10" s="155" t="s">
        <v>31</v>
      </c>
      <c r="O10" s="151">
        <f>J24*$K$6</f>
        <v>-175.04305289484893</v>
      </c>
      <c r="P10" s="144"/>
      <c r="Q10" s="9">
        <f>K8*J24</f>
        <v>-34.590309165801926</v>
      </c>
      <c r="R10" s="10">
        <f>K14*K24</f>
        <v>-70.888364016828859</v>
      </c>
      <c r="S10" s="9">
        <f>K10*J24</f>
        <v>15.284090096517145</v>
      </c>
      <c r="T10" s="11">
        <f>R10</f>
        <v>-70.888364016828859</v>
      </c>
      <c r="U10" s="3"/>
      <c r="V10" s="7"/>
    </row>
    <row r="11" spans="1:22" s="2" customFormat="1" ht="15.75" thickBot="1" x14ac:dyDescent="0.3">
      <c r="A11" s="1"/>
      <c r="B11" s="4"/>
      <c r="C11" s="42" t="s">
        <v>2</v>
      </c>
      <c r="D11" s="43" t="s">
        <v>3</v>
      </c>
      <c r="E11" s="43" t="s">
        <v>7</v>
      </c>
      <c r="F11" s="44">
        <f>F9/60</f>
        <v>13.083333333333334</v>
      </c>
      <c r="G11" s="45" t="s">
        <v>4</v>
      </c>
      <c r="I11" s="147"/>
      <c r="J11" s="148"/>
      <c r="K11" s="149"/>
      <c r="L11" s="150"/>
      <c r="N11" s="154"/>
      <c r="O11" s="125"/>
      <c r="P11" s="128"/>
      <c r="Q11" s="125">
        <f>J24*$K$8+K24*$K$14</f>
        <v>-105.47867318263079</v>
      </c>
      <c r="R11" s="128"/>
      <c r="S11" s="125">
        <f>J24*$K$10+K24*$K$16</f>
        <v>-55.604273920311712</v>
      </c>
      <c r="T11" s="126"/>
      <c r="U11" s="3">
        <f t="shared" si="0"/>
        <v>-55.604273920311712</v>
      </c>
      <c r="V11" s="7">
        <f t="shared" si="1"/>
        <v>-105.47867318263079</v>
      </c>
    </row>
    <row r="12" spans="1:22" s="2" customFormat="1" ht="15.75" thickBot="1" x14ac:dyDescent="0.3">
      <c r="A12" s="1"/>
      <c r="B12" s="4"/>
      <c r="C12" s="46"/>
      <c r="D12" s="46"/>
      <c r="E12" s="42"/>
      <c r="F12" s="44"/>
      <c r="G12" s="6"/>
      <c r="I12" s="160"/>
      <c r="J12" s="161"/>
      <c r="K12" s="161"/>
      <c r="L12" s="162"/>
      <c r="N12" s="155" t="s">
        <v>32</v>
      </c>
      <c r="O12" s="151">
        <f>J25*$K$6</f>
        <v>-175.04305289484893</v>
      </c>
      <c r="P12" s="144"/>
      <c r="Q12" s="9">
        <f>K8*J25</f>
        <v>-34.590309165801926</v>
      </c>
      <c r="R12" s="10">
        <f>K14*K25</f>
        <v>48.86479461354223</v>
      </c>
      <c r="S12" s="9">
        <f>K10*J25</f>
        <v>15.284090096517145</v>
      </c>
      <c r="T12" s="11">
        <f>R12</f>
        <v>48.86479461354223</v>
      </c>
      <c r="U12" s="3"/>
      <c r="V12" s="7"/>
    </row>
    <row r="13" spans="1:22" s="2" customFormat="1" ht="16.5" thickBot="1" x14ac:dyDescent="0.3">
      <c r="A13" s="1"/>
      <c r="B13" s="4"/>
      <c r="C13" s="46" t="s">
        <v>5</v>
      </c>
      <c r="D13" s="46" t="s">
        <v>6</v>
      </c>
      <c r="E13" s="42" t="s">
        <v>8</v>
      </c>
      <c r="F13" s="44">
        <f>F9/100</f>
        <v>7.85</v>
      </c>
      <c r="G13" s="7" t="s">
        <v>4</v>
      </c>
      <c r="I13" s="130" t="s">
        <v>24</v>
      </c>
      <c r="J13" s="127"/>
      <c r="K13" s="127"/>
      <c r="L13" s="131"/>
      <c r="N13" s="154"/>
      <c r="O13" s="125"/>
      <c r="P13" s="128"/>
      <c r="Q13" s="125">
        <f>J25*$K$8+K25*$K$14</f>
        <v>14.274485447740304</v>
      </c>
      <c r="R13" s="128"/>
      <c r="S13" s="125">
        <f>J25*$K$10+K25*$K$16</f>
        <v>64.148884710059377</v>
      </c>
      <c r="T13" s="126"/>
      <c r="U13" s="3">
        <f t="shared" si="0"/>
        <v>64.148884710059377</v>
      </c>
      <c r="V13" s="7">
        <f t="shared" si="1"/>
        <v>14.274485447740304</v>
      </c>
    </row>
    <row r="14" spans="1:22" s="2" customFormat="1" x14ac:dyDescent="0.25">
      <c r="A14" s="1"/>
      <c r="B14" s="4"/>
      <c r="C14" s="30"/>
      <c r="D14" s="30"/>
      <c r="E14" s="47"/>
      <c r="F14" s="44"/>
      <c r="G14" s="7"/>
      <c r="I14" s="136" t="s">
        <v>25</v>
      </c>
      <c r="J14" s="137"/>
      <c r="K14" s="139">
        <f>1.3*F28</f>
        <v>13.819270833333334</v>
      </c>
      <c r="L14" s="141" t="s">
        <v>13</v>
      </c>
      <c r="N14" s="155" t="s">
        <v>33</v>
      </c>
      <c r="O14" s="151">
        <f>J26*$K$6</f>
        <v>205.67558715144744</v>
      </c>
      <c r="P14" s="144"/>
      <c r="Q14" s="9">
        <f>K8*J26</f>
        <v>40.643613269817259</v>
      </c>
      <c r="R14" s="10">
        <f>K14*K26</f>
        <v>-11.011784701643316</v>
      </c>
      <c r="S14" s="9">
        <f>K10*J26</f>
        <v>-17.958805863407644</v>
      </c>
      <c r="T14" s="11">
        <f>R14</f>
        <v>-11.011784701643316</v>
      </c>
      <c r="U14" s="3"/>
      <c r="V14" s="7"/>
    </row>
    <row r="15" spans="1:22" s="2" customFormat="1" x14ac:dyDescent="0.25">
      <c r="A15" s="1"/>
      <c r="B15" s="4"/>
      <c r="C15" s="132" t="s">
        <v>10</v>
      </c>
      <c r="D15" s="132"/>
      <c r="E15" s="47" t="s">
        <v>9</v>
      </c>
      <c r="F15" s="44">
        <f>F9/120</f>
        <v>6.541666666666667</v>
      </c>
      <c r="G15" s="7" t="s">
        <v>4</v>
      </c>
      <c r="I15" s="138"/>
      <c r="J15" s="128"/>
      <c r="K15" s="140"/>
      <c r="L15" s="142"/>
      <c r="N15" s="154"/>
      <c r="O15" s="125"/>
      <c r="P15" s="128"/>
      <c r="Q15" s="125">
        <f>J26*$K$8+K26*$K$14</f>
        <v>29.631828568173944</v>
      </c>
      <c r="R15" s="128"/>
      <c r="S15" s="125">
        <f>J26*$K$10+K26*$K$16</f>
        <v>-28.970590565050962</v>
      </c>
      <c r="T15" s="126"/>
      <c r="U15" s="3">
        <f t="shared" si="0"/>
        <v>29.631828568173944</v>
      </c>
      <c r="V15" s="7">
        <f t="shared" si="1"/>
        <v>-28.970590565050962</v>
      </c>
    </row>
    <row r="16" spans="1:22" s="2" customFormat="1" x14ac:dyDescent="0.25">
      <c r="A16" s="1"/>
      <c r="B16" s="4"/>
      <c r="C16" s="40"/>
      <c r="D16" s="40"/>
      <c r="E16" s="48"/>
      <c r="F16" s="44"/>
      <c r="G16" s="7"/>
      <c r="I16" s="143" t="s">
        <v>25</v>
      </c>
      <c r="J16" s="144"/>
      <c r="K16" s="145">
        <f>1.3*F28</f>
        <v>13.819270833333334</v>
      </c>
      <c r="L16" s="146" t="s">
        <v>13</v>
      </c>
      <c r="N16" s="155" t="s">
        <v>34</v>
      </c>
      <c r="O16" s="151">
        <f>J27*$K$6</f>
        <v>116.39805555555559</v>
      </c>
      <c r="P16" s="144"/>
      <c r="Q16" s="9">
        <f>K8*J27</f>
        <v>23.001453993055549</v>
      </c>
      <c r="R16" s="10">
        <f>K14*K27</f>
        <v>-9.1531076660156234</v>
      </c>
      <c r="S16" s="9">
        <f>K10*J27</f>
        <v>-10.16343315972223</v>
      </c>
      <c r="T16" s="11">
        <f>R16</f>
        <v>-9.1531076660156234</v>
      </c>
      <c r="U16" s="3"/>
      <c r="V16" s="7"/>
    </row>
    <row r="17" spans="1:22" s="2" customFormat="1" ht="15.75" thickBot="1" x14ac:dyDescent="0.3">
      <c r="A17" s="1"/>
      <c r="B17" s="4"/>
      <c r="C17" s="49"/>
      <c r="D17" s="49" t="s">
        <v>52</v>
      </c>
      <c r="E17" s="50"/>
      <c r="F17" s="51">
        <v>1000</v>
      </c>
      <c r="G17" s="7" t="s">
        <v>11</v>
      </c>
      <c r="I17" s="147"/>
      <c r="J17" s="148"/>
      <c r="K17" s="149"/>
      <c r="L17" s="150"/>
      <c r="N17" s="154"/>
      <c r="O17" s="125"/>
      <c r="P17" s="128"/>
      <c r="Q17" s="125">
        <f>J27*$K$8+K27*$K$14</f>
        <v>13.848346327039925</v>
      </c>
      <c r="R17" s="128"/>
      <c r="S17" s="125">
        <f>J27*$K$10+K27*$K$16</f>
        <v>-19.316540825737853</v>
      </c>
      <c r="T17" s="126"/>
      <c r="U17" s="3">
        <f t="shared" si="0"/>
        <v>13.848346327039925</v>
      </c>
      <c r="V17" s="7">
        <f t="shared" si="1"/>
        <v>-19.316540825737853</v>
      </c>
    </row>
    <row r="18" spans="1:22" s="2" customFormat="1" ht="15.75" thickBot="1" x14ac:dyDescent="0.3">
      <c r="A18" s="1"/>
      <c r="B18" s="4"/>
      <c r="C18" s="49"/>
      <c r="D18" s="49"/>
      <c r="E18" s="50"/>
      <c r="F18" s="44"/>
      <c r="G18" s="7"/>
      <c r="I18" s="136"/>
      <c r="J18" s="163"/>
      <c r="K18" s="163"/>
      <c r="L18" s="163"/>
      <c r="N18" s="155" t="s">
        <v>35</v>
      </c>
      <c r="O18" s="151">
        <f>J28*$K$6</f>
        <v>116.39805555555559</v>
      </c>
      <c r="P18" s="144"/>
      <c r="Q18" s="9">
        <f>K8*J28</f>
        <v>23.001453993055549</v>
      </c>
      <c r="R18" s="10">
        <f>K14*K28</f>
        <v>9.1531076660156234</v>
      </c>
      <c r="S18" s="9">
        <f>K10*J28</f>
        <v>-10.16343315972223</v>
      </c>
      <c r="T18" s="11">
        <f>R18</f>
        <v>9.1531076660156234</v>
      </c>
      <c r="U18" s="3"/>
      <c r="V18" s="7"/>
    </row>
    <row r="19" spans="1:22" s="2" customFormat="1" ht="16.5" thickBot="1" x14ac:dyDescent="0.3">
      <c r="A19" s="1"/>
      <c r="B19" s="4"/>
      <c r="C19" s="49"/>
      <c r="D19" s="49" t="s">
        <v>53</v>
      </c>
      <c r="E19" s="50"/>
      <c r="F19" s="51">
        <v>950</v>
      </c>
      <c r="G19" s="7" t="s">
        <v>11</v>
      </c>
      <c r="I19" s="21" t="s">
        <v>26</v>
      </c>
      <c r="J19" s="52" t="s">
        <v>27</v>
      </c>
      <c r="K19" s="53" t="s">
        <v>28</v>
      </c>
      <c r="L19" s="16"/>
      <c r="N19" s="154"/>
      <c r="O19" s="125"/>
      <c r="P19" s="128"/>
      <c r="Q19" s="125">
        <f>J28*$K$8+K28*$K$14</f>
        <v>32.15456165907117</v>
      </c>
      <c r="R19" s="128"/>
      <c r="S19" s="125">
        <f>J28*$K$10+K28*$K$16</f>
        <v>-1.0103254937066062</v>
      </c>
      <c r="T19" s="126"/>
      <c r="U19" s="3">
        <f t="shared" si="0"/>
        <v>32.15456165907117</v>
      </c>
      <c r="V19" s="7">
        <f t="shared" si="1"/>
        <v>-1.0103254937066062</v>
      </c>
    </row>
    <row r="20" spans="1:22" s="2" customFormat="1" ht="15.75" x14ac:dyDescent="0.25">
      <c r="A20" s="1"/>
      <c r="B20" s="4"/>
      <c r="C20" s="49"/>
      <c r="D20" s="49"/>
      <c r="E20" s="50"/>
      <c r="F20" s="44"/>
      <c r="G20" s="7"/>
      <c r="I20" s="153" t="s">
        <v>38</v>
      </c>
      <c r="J20" s="157">
        <f>F11*F11/(12*F33)</f>
        <v>4.9187819284802048</v>
      </c>
      <c r="K20" s="141">
        <f>F13*F13/4*(-(F31+3)/6/F33-(4*F31+1)/F34)</f>
        <v>-14.525777882543103</v>
      </c>
      <c r="L20" s="16"/>
      <c r="N20" s="155" t="s">
        <v>36</v>
      </c>
      <c r="O20" s="151">
        <f>J29*$K$6</f>
        <v>33.447717113665405</v>
      </c>
      <c r="P20" s="144"/>
      <c r="Q20" s="9">
        <f>K8*J29</f>
        <v>6.6096132163952737</v>
      </c>
      <c r="R20" s="10">
        <f>K14*K29</f>
        <v>-86.036874102011495</v>
      </c>
      <c r="S20" s="9">
        <f>K10*J29</f>
        <v>-2.9205267700351238</v>
      </c>
      <c r="T20" s="11">
        <f>R20</f>
        <v>-86.036874102011495</v>
      </c>
      <c r="U20" s="3"/>
      <c r="V20" s="7"/>
    </row>
    <row r="21" spans="1:22" s="2" customFormat="1" x14ac:dyDescent="0.25">
      <c r="A21" s="1"/>
      <c r="B21" s="4"/>
      <c r="C21" s="49"/>
      <c r="D21" s="49" t="s">
        <v>54</v>
      </c>
      <c r="E21" s="50"/>
      <c r="F21" s="51">
        <v>-875</v>
      </c>
      <c r="G21" s="7" t="s">
        <v>11</v>
      </c>
      <c r="I21" s="154"/>
      <c r="J21" s="158"/>
      <c r="K21" s="142"/>
      <c r="L21" s="13"/>
      <c r="N21" s="154"/>
      <c r="O21" s="125"/>
      <c r="P21" s="128"/>
      <c r="Q21" s="125">
        <f>J29*$K$8+K29*$K$14</f>
        <v>-79.427260885616221</v>
      </c>
      <c r="R21" s="128"/>
      <c r="S21" s="125">
        <f>J29*$K$10+K29*$K$16</f>
        <v>-88.95740087204662</v>
      </c>
      <c r="T21" s="126"/>
      <c r="U21" s="3">
        <f t="shared" si="0"/>
        <v>-79.427260885616221</v>
      </c>
      <c r="V21" s="7">
        <f t="shared" si="1"/>
        <v>-88.95740087204662</v>
      </c>
    </row>
    <row r="22" spans="1:22" s="2" customFormat="1" x14ac:dyDescent="0.25">
      <c r="A22" s="1"/>
      <c r="B22" s="4"/>
      <c r="C22" s="49"/>
      <c r="D22" s="49"/>
      <c r="E22" s="50"/>
      <c r="F22" s="116"/>
      <c r="G22" s="20"/>
      <c r="I22" s="155" t="s">
        <v>39</v>
      </c>
      <c r="J22" s="159">
        <f>J20</f>
        <v>4.9187819284802048</v>
      </c>
      <c r="K22" s="146">
        <f>F13*F13/4*(-(F31+3)/6/F33+(4*F31+1)/F34)</f>
        <v>7.6198080549568976</v>
      </c>
      <c r="L22" s="13"/>
      <c r="N22" s="155" t="s">
        <v>37</v>
      </c>
      <c r="O22" s="151">
        <f>J30*$K$6</f>
        <v>33.447717113665405</v>
      </c>
      <c r="P22" s="144"/>
      <c r="Q22" s="9">
        <f>K8*J30</f>
        <v>6.6096132163952737</v>
      </c>
      <c r="R22" s="10">
        <f>K14*K30</f>
        <v>22.444401939655176</v>
      </c>
      <c r="S22" s="9">
        <f>K10*J30</f>
        <v>-2.9205267700351238</v>
      </c>
      <c r="T22" s="11">
        <f>R22</f>
        <v>22.444401939655176</v>
      </c>
      <c r="U22" s="19"/>
      <c r="V22" s="20"/>
    </row>
    <row r="23" spans="1:22" s="2" customFormat="1" ht="15.75" thickBot="1" x14ac:dyDescent="0.3">
      <c r="A23" s="1"/>
      <c r="B23" s="4"/>
      <c r="C23" s="49"/>
      <c r="D23" s="49" t="s">
        <v>55</v>
      </c>
      <c r="E23" s="50"/>
      <c r="F23" s="54">
        <v>1625</v>
      </c>
      <c r="G23" s="20" t="s">
        <v>11</v>
      </c>
      <c r="I23" s="154"/>
      <c r="J23" s="158"/>
      <c r="K23" s="142"/>
      <c r="L23" s="13"/>
      <c r="N23" s="164"/>
      <c r="O23" s="152"/>
      <c r="P23" s="148"/>
      <c r="Q23" s="125">
        <f>J30*$K$8+K30*$K$14</f>
        <v>29.05401515605045</v>
      </c>
      <c r="R23" s="128"/>
      <c r="S23" s="125">
        <f>J30*$K$10+K30*$K$16</f>
        <v>19.523875169620052</v>
      </c>
      <c r="T23" s="126"/>
      <c r="U23" s="12">
        <f t="shared" si="0"/>
        <v>29.05401515605045</v>
      </c>
      <c r="V23" s="8">
        <f t="shared" si="1"/>
        <v>19.523875169620052</v>
      </c>
    </row>
    <row r="24" spans="1:22" s="2" customFormat="1" x14ac:dyDescent="0.25">
      <c r="A24" s="1"/>
      <c r="B24" s="4"/>
      <c r="C24" s="133" t="s">
        <v>12</v>
      </c>
      <c r="D24" s="134"/>
      <c r="E24" s="134"/>
      <c r="F24" s="134"/>
      <c r="G24" s="135"/>
      <c r="H24" s="63"/>
      <c r="I24" s="55" t="s">
        <v>40</v>
      </c>
      <c r="J24" s="56">
        <f>-2*J20</f>
        <v>-9.8375638569604096</v>
      </c>
      <c r="K24" s="7">
        <f>F13*F13/4*(-(F31)/6/F33-(2*F31)/F34)</f>
        <v>-5.1296747036637926</v>
      </c>
      <c r="L24" s="13"/>
      <c r="N24" s="13"/>
      <c r="O24" s="123"/>
      <c r="P24" s="123"/>
      <c r="Q24" s="123"/>
      <c r="R24" s="123"/>
      <c r="S24" s="123"/>
      <c r="T24" s="123"/>
    </row>
    <row r="25" spans="1:22" s="2" customFormat="1" x14ac:dyDescent="0.25">
      <c r="A25" s="1"/>
      <c r="B25" s="4"/>
      <c r="C25" s="40"/>
      <c r="D25" s="40" t="s">
        <v>52</v>
      </c>
      <c r="E25" s="48"/>
      <c r="F25" s="5">
        <f>F17*$F$15/1000</f>
        <v>6.541666666666667</v>
      </c>
      <c r="G25" s="6" t="s">
        <v>13</v>
      </c>
      <c r="I25" s="55" t="s">
        <v>41</v>
      </c>
      <c r="J25" s="56">
        <f>J24</f>
        <v>-9.8375638569604096</v>
      </c>
      <c r="K25" s="7">
        <f>F13*F13/4*(-(F31)/6/F33+(2*F31)/F34)</f>
        <v>3.5359893588362068</v>
      </c>
      <c r="L25" s="13"/>
      <c r="N25" s="13"/>
      <c r="O25" s="123"/>
      <c r="P25" s="123"/>
      <c r="Q25" s="123"/>
      <c r="R25" s="123"/>
      <c r="S25" s="123"/>
      <c r="T25" s="123"/>
    </row>
    <row r="26" spans="1:22" s="2" customFormat="1" x14ac:dyDescent="0.25">
      <c r="A26" s="1"/>
      <c r="B26" s="4"/>
      <c r="C26" s="49"/>
      <c r="D26" s="49" t="s">
        <v>53</v>
      </c>
      <c r="E26" s="50"/>
      <c r="F26" s="3">
        <f>F19*$F$15/1000</f>
        <v>6.2145833333333336</v>
      </c>
      <c r="G26" s="7" t="s">
        <v>13</v>
      </c>
      <c r="I26" s="55" t="s">
        <v>42</v>
      </c>
      <c r="J26" s="56">
        <f>F11*F11/8+J25</f>
        <v>11.55913753192848</v>
      </c>
      <c r="K26" s="7">
        <f>(K25+K24)/2</f>
        <v>-0.79684267241379292</v>
      </c>
      <c r="L26" s="13"/>
      <c r="N26" s="13"/>
      <c r="O26" s="123"/>
      <c r="P26" s="123"/>
      <c r="Q26" s="123"/>
      <c r="R26" s="123"/>
      <c r="S26" s="123"/>
      <c r="T26" s="123"/>
    </row>
    <row r="27" spans="1:22" s="2" customFormat="1" x14ac:dyDescent="0.25">
      <c r="A27" s="1"/>
      <c r="B27" s="4"/>
      <c r="C27" s="49"/>
      <c r="D27" s="49" t="s">
        <v>54</v>
      </c>
      <c r="E27" s="50"/>
      <c r="F27" s="3">
        <f>F21*$F$15/1000</f>
        <v>-5.7239583333333339</v>
      </c>
      <c r="G27" s="7" t="s">
        <v>13</v>
      </c>
      <c r="I27" s="55" t="s">
        <v>43</v>
      </c>
      <c r="J27" s="56">
        <f>F11/2</f>
        <v>6.541666666666667</v>
      </c>
      <c r="K27" s="7">
        <f>-F13*F13*F31/F11/F34</f>
        <v>-0.6623437499999999</v>
      </c>
      <c r="L27" s="13"/>
      <c r="N27" s="13"/>
      <c r="O27" s="123"/>
      <c r="P27" s="123"/>
      <c r="Q27" s="123"/>
      <c r="R27" s="123"/>
      <c r="S27" s="123"/>
      <c r="T27" s="123"/>
    </row>
    <row r="28" spans="1:22" s="2" customFormat="1" x14ac:dyDescent="0.25">
      <c r="A28" s="1"/>
      <c r="B28" s="4"/>
      <c r="C28" s="49"/>
      <c r="D28" s="49" t="s">
        <v>55</v>
      </c>
      <c r="E28" s="50"/>
      <c r="F28" s="3">
        <f t="shared" ref="F28" si="2">F23*$F$15/1000</f>
        <v>10.630208333333334</v>
      </c>
      <c r="G28" s="7" t="s">
        <v>13</v>
      </c>
      <c r="I28" s="55" t="s">
        <v>44</v>
      </c>
      <c r="J28" s="56">
        <f>J27</f>
        <v>6.541666666666667</v>
      </c>
      <c r="K28" s="7">
        <f>-K27</f>
        <v>0.6623437499999999</v>
      </c>
      <c r="L28" s="13"/>
      <c r="N28" s="13"/>
      <c r="O28" s="123"/>
      <c r="P28" s="123"/>
      <c r="Q28" s="123"/>
      <c r="R28" s="123"/>
      <c r="S28" s="123"/>
      <c r="T28" s="123"/>
    </row>
    <row r="29" spans="1:22" s="2" customFormat="1" x14ac:dyDescent="0.25">
      <c r="A29" s="1"/>
      <c r="B29" s="4"/>
      <c r="C29" s="49"/>
      <c r="D29" s="49" t="s">
        <v>14</v>
      </c>
      <c r="E29" s="50"/>
      <c r="F29" s="51">
        <v>1</v>
      </c>
      <c r="G29" s="57" t="s">
        <v>15</v>
      </c>
      <c r="I29" s="55" t="s">
        <v>45</v>
      </c>
      <c r="J29" s="56">
        <f>3*J20/F13</f>
        <v>1.8797892720306517</v>
      </c>
      <c r="K29" s="7">
        <f>-F13+K30</f>
        <v>-6.2258620689655171</v>
      </c>
      <c r="L29" s="13"/>
      <c r="N29" s="13"/>
      <c r="O29" s="123"/>
      <c r="P29" s="123"/>
      <c r="Q29" s="123"/>
      <c r="R29" s="123"/>
      <c r="S29" s="123"/>
      <c r="T29" s="123"/>
    </row>
    <row r="30" spans="1:22" s="2" customFormat="1" ht="15.75" thickBot="1" x14ac:dyDescent="0.3">
      <c r="A30" s="1"/>
      <c r="B30" s="4"/>
      <c r="C30" s="120" t="s">
        <v>49</v>
      </c>
      <c r="D30" s="121"/>
      <c r="E30" s="122"/>
      <c r="F30" s="51">
        <v>1.5</v>
      </c>
      <c r="G30" s="58" t="s">
        <v>15</v>
      </c>
      <c r="I30" s="59" t="s">
        <v>46</v>
      </c>
      <c r="J30" s="60">
        <f>J29</f>
        <v>1.8797892720306517</v>
      </c>
      <c r="K30" s="8">
        <f>F13*(2*F31+3)/8/F33</f>
        <v>1.6241379310344828</v>
      </c>
      <c r="L30" s="13"/>
      <c r="N30" s="13"/>
      <c r="O30" s="124"/>
      <c r="P30" s="123"/>
      <c r="Q30" s="123"/>
      <c r="R30" s="123"/>
      <c r="S30" s="123"/>
      <c r="T30" s="123"/>
    </row>
    <row r="31" spans="1:22" s="2" customFormat="1" x14ac:dyDescent="0.25">
      <c r="A31" s="1"/>
      <c r="B31" s="4"/>
      <c r="C31" s="30"/>
      <c r="D31" s="30" t="s">
        <v>16</v>
      </c>
      <c r="E31" s="47"/>
      <c r="F31" s="6">
        <f>F30/F29*F13/F11</f>
        <v>0.8999999999999998</v>
      </c>
      <c r="N31" s="13"/>
      <c r="O31" s="124"/>
      <c r="P31" s="123"/>
      <c r="Q31" s="123"/>
      <c r="R31" s="123"/>
      <c r="S31" s="123"/>
      <c r="T31" s="123"/>
    </row>
    <row r="32" spans="1:22" s="2" customFormat="1" x14ac:dyDescent="0.25">
      <c r="A32" s="1"/>
      <c r="B32" s="4"/>
      <c r="C32" s="49"/>
      <c r="D32" s="49" t="s">
        <v>0</v>
      </c>
      <c r="E32" s="50"/>
      <c r="F32" s="7">
        <f>2*F31+3</f>
        <v>4.8</v>
      </c>
      <c r="N32" s="13"/>
      <c r="O32" s="123"/>
      <c r="P32" s="123"/>
      <c r="Q32" s="123"/>
      <c r="R32" s="123"/>
      <c r="S32" s="123"/>
      <c r="T32" s="123"/>
    </row>
    <row r="33" spans="2:22" x14ac:dyDescent="0.25">
      <c r="B33" s="4"/>
      <c r="C33" s="49"/>
      <c r="D33" s="49" t="s">
        <v>17</v>
      </c>
      <c r="E33" s="50"/>
      <c r="F33" s="7">
        <f>2+F31</f>
        <v>2.9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2:22" ht="15.75" thickBot="1" x14ac:dyDescent="0.3">
      <c r="B34" s="4"/>
      <c r="C34" s="61"/>
      <c r="D34" s="61" t="s">
        <v>18</v>
      </c>
      <c r="E34" s="62"/>
      <c r="F34" s="8">
        <f>6*F31+1</f>
        <v>6.3999999999999986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2:22" x14ac:dyDescent="0.2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2:22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2:22" x14ac:dyDescent="0.25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2:22" x14ac:dyDescent="0.25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mergeCells count="95">
    <mergeCell ref="H1:S3"/>
    <mergeCell ref="I20:I21"/>
    <mergeCell ref="J20:J21"/>
    <mergeCell ref="K20:K21"/>
    <mergeCell ref="I22:I23"/>
    <mergeCell ref="J22:J23"/>
    <mergeCell ref="K22:K23"/>
    <mergeCell ref="K16:K17"/>
    <mergeCell ref="L14:L15"/>
    <mergeCell ref="L16:L17"/>
    <mergeCell ref="I12:L12"/>
    <mergeCell ref="I18:L18"/>
    <mergeCell ref="N22:N23"/>
    <mergeCell ref="O6:P7"/>
    <mergeCell ref="O8:P9"/>
    <mergeCell ref="O10:P11"/>
    <mergeCell ref="O22:P23"/>
    <mergeCell ref="N6:N7"/>
    <mergeCell ref="N8:N9"/>
    <mergeCell ref="N10:N11"/>
    <mergeCell ref="N12:N13"/>
    <mergeCell ref="N14:N15"/>
    <mergeCell ref="N16:N17"/>
    <mergeCell ref="N18:N19"/>
    <mergeCell ref="N20:N21"/>
    <mergeCell ref="O12:P13"/>
    <mergeCell ref="O14:P15"/>
    <mergeCell ref="O16:P17"/>
    <mergeCell ref="O18:P19"/>
    <mergeCell ref="O20:P21"/>
    <mergeCell ref="I5:L5"/>
    <mergeCell ref="C15:D15"/>
    <mergeCell ref="C24:G24"/>
    <mergeCell ref="I13:L13"/>
    <mergeCell ref="I6:J7"/>
    <mergeCell ref="K6:K7"/>
    <mergeCell ref="L6:L7"/>
    <mergeCell ref="I8:J9"/>
    <mergeCell ref="K8:K9"/>
    <mergeCell ref="L8:L9"/>
    <mergeCell ref="I10:J11"/>
    <mergeCell ref="K10:K11"/>
    <mergeCell ref="L10:L11"/>
    <mergeCell ref="I14:J15"/>
    <mergeCell ref="I16:J17"/>
    <mergeCell ref="K14:K15"/>
    <mergeCell ref="Q9:R9"/>
    <mergeCell ref="Q13:R13"/>
    <mergeCell ref="Q7:R7"/>
    <mergeCell ref="S7:T7"/>
    <mergeCell ref="Q11:R11"/>
    <mergeCell ref="S9:T9"/>
    <mergeCell ref="S13:T13"/>
    <mergeCell ref="S11:T11"/>
    <mergeCell ref="S15:T15"/>
    <mergeCell ref="O5:P5"/>
    <mergeCell ref="O24:P24"/>
    <mergeCell ref="Q5:R5"/>
    <mergeCell ref="Q17:R17"/>
    <mergeCell ref="Q15:R15"/>
    <mergeCell ref="S17:T17"/>
    <mergeCell ref="S21:T21"/>
    <mergeCell ref="S24:T24"/>
    <mergeCell ref="Q21:R21"/>
    <mergeCell ref="Q24:R24"/>
    <mergeCell ref="Q19:R19"/>
    <mergeCell ref="S19:T19"/>
    <mergeCell ref="Q23:R23"/>
    <mergeCell ref="S23:T23"/>
    <mergeCell ref="S5:T5"/>
    <mergeCell ref="S28:T28"/>
    <mergeCell ref="S30:T30"/>
    <mergeCell ref="Q29:R29"/>
    <mergeCell ref="O32:P32"/>
    <mergeCell ref="Q32:R32"/>
    <mergeCell ref="S32:T32"/>
    <mergeCell ref="O28:P28"/>
    <mergeCell ref="O29:P29"/>
    <mergeCell ref="Q28:R28"/>
    <mergeCell ref="Q30:R30"/>
    <mergeCell ref="O25:P25"/>
    <mergeCell ref="Q25:R25"/>
    <mergeCell ref="S25:T25"/>
    <mergeCell ref="O26:P26"/>
    <mergeCell ref="O27:P27"/>
    <mergeCell ref="Q27:R27"/>
    <mergeCell ref="S27:T27"/>
    <mergeCell ref="Q26:R26"/>
    <mergeCell ref="S26:T26"/>
    <mergeCell ref="C30:E30"/>
    <mergeCell ref="S29:T29"/>
    <mergeCell ref="O30:P30"/>
    <mergeCell ref="O31:P31"/>
    <mergeCell ref="Q31:R31"/>
    <mergeCell ref="S31:T31"/>
  </mergeCells>
  <pageMargins left="0.7" right="0.7" top="0.75" bottom="0.75" header="0.3" footer="0.3"/>
  <pageSetup orientation="portrait" r:id="rId1"/>
  <ignoredErrors>
    <ignoredError sqref="J24 J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103"/>
  <sheetViews>
    <sheetView tabSelected="1" workbookViewId="0">
      <selection activeCell="H4" sqref="H4:O7"/>
    </sheetView>
  </sheetViews>
  <sheetFormatPr defaultRowHeight="15" x14ac:dyDescent="0.25"/>
  <cols>
    <col min="1" max="7" width="9.140625" style="2"/>
    <col min="8" max="8" width="11" style="2" bestFit="1" customWidth="1"/>
    <col min="9" max="9" width="16" style="2" bestFit="1" customWidth="1"/>
    <col min="10" max="11" width="12" style="2" bestFit="1" customWidth="1"/>
    <col min="12" max="16" width="9.140625" style="2"/>
    <col min="17" max="17" width="11.28515625" style="2" bestFit="1" customWidth="1"/>
    <col min="18" max="16384" width="9.140625" style="2"/>
  </cols>
  <sheetData>
    <row r="1" spans="3:17" ht="15.75" thickBot="1" x14ac:dyDescent="0.3"/>
    <row r="2" spans="3:17" x14ac:dyDescent="0.25">
      <c r="D2" s="98" t="s">
        <v>66</v>
      </c>
      <c r="E2" s="99">
        <f>Sheet1!F11</f>
        <v>13.083333333333334</v>
      </c>
      <c r="G2" s="2">
        <f>E2/2</f>
        <v>6.541666666666667</v>
      </c>
      <c r="I2" s="2" t="s">
        <v>62</v>
      </c>
      <c r="J2" s="2">
        <f>ABS(-E5+E4*G2-E3*G2^2/2)</f>
        <v>205.67558715144753</v>
      </c>
    </row>
    <row r="3" spans="3:17" ht="15.75" thickBot="1" x14ac:dyDescent="0.3">
      <c r="D3" s="100" t="s">
        <v>65</v>
      </c>
      <c r="E3" s="35">
        <f>Sheet1!K6</f>
        <v>17.793333333333337</v>
      </c>
    </row>
    <row r="4" spans="3:17" x14ac:dyDescent="0.25">
      <c r="D4" s="100" t="s">
        <v>58</v>
      </c>
      <c r="E4" s="35">
        <f>Sheet1!O16</f>
        <v>116.39805555555559</v>
      </c>
      <c r="H4" s="176"/>
      <c r="I4" s="177"/>
      <c r="J4" s="177"/>
      <c r="K4" s="177"/>
      <c r="L4" s="177"/>
      <c r="M4" s="177"/>
      <c r="N4" s="177"/>
      <c r="O4" s="178"/>
    </row>
    <row r="5" spans="3:17" x14ac:dyDescent="0.25">
      <c r="D5" s="100" t="s">
        <v>59</v>
      </c>
      <c r="E5" s="35">
        <f>ABS(Sheet1!O12)</f>
        <v>175.04305289484893</v>
      </c>
      <c r="H5" s="179"/>
      <c r="I5" s="180"/>
      <c r="J5" s="180"/>
      <c r="K5" s="180"/>
      <c r="L5" s="180"/>
      <c r="M5" s="180"/>
      <c r="N5" s="180"/>
      <c r="O5" s="181"/>
    </row>
    <row r="6" spans="3:17" ht="15.75" thickBot="1" x14ac:dyDescent="0.3">
      <c r="D6" s="101" t="s">
        <v>83</v>
      </c>
      <c r="E6" s="102">
        <f>Sheet1!F26</f>
        <v>6.2145833333333336</v>
      </c>
      <c r="H6" s="179"/>
      <c r="I6" s="180"/>
      <c r="J6" s="180"/>
      <c r="K6" s="180"/>
      <c r="L6" s="180"/>
      <c r="M6" s="180"/>
      <c r="N6" s="180"/>
      <c r="O6" s="181"/>
    </row>
    <row r="7" spans="3:17" ht="15.75" thickBot="1" x14ac:dyDescent="0.3">
      <c r="D7" s="71"/>
      <c r="H7" s="182"/>
      <c r="I7" s="183"/>
      <c r="J7" s="183"/>
      <c r="K7" s="183"/>
      <c r="L7" s="183"/>
      <c r="M7" s="183"/>
      <c r="N7" s="183"/>
      <c r="O7" s="184"/>
    </row>
    <row r="8" spans="3:17" x14ac:dyDescent="0.25">
      <c r="D8" s="71"/>
    </row>
    <row r="9" spans="3:17" x14ac:dyDescent="0.25">
      <c r="D9" s="71"/>
    </row>
    <row r="10" spans="3:17" x14ac:dyDescent="0.25">
      <c r="D10" s="71"/>
    </row>
    <row r="11" spans="3:17" x14ac:dyDescent="0.25">
      <c r="D11" s="71"/>
    </row>
    <row r="12" spans="3:17" x14ac:dyDescent="0.25">
      <c r="C12" s="64" t="s">
        <v>67</v>
      </c>
      <c r="D12" s="64"/>
      <c r="E12" s="64"/>
      <c r="F12" s="64"/>
      <c r="G12" s="64"/>
      <c r="H12" s="64"/>
      <c r="I12" s="64" t="s">
        <v>75</v>
      </c>
      <c r="J12" s="64" t="s">
        <v>60</v>
      </c>
      <c r="K12" s="64" t="s">
        <v>59</v>
      </c>
      <c r="L12" s="64" t="s">
        <v>61</v>
      </c>
      <c r="M12" s="64" t="s">
        <v>76</v>
      </c>
      <c r="N12" s="64" t="s">
        <v>62</v>
      </c>
      <c r="O12" s="64" t="s">
        <v>64</v>
      </c>
      <c r="P12" s="64" t="s">
        <v>73</v>
      </c>
      <c r="Q12" s="64" t="s">
        <v>74</v>
      </c>
    </row>
    <row r="13" spans="3:17" x14ac:dyDescent="0.25">
      <c r="C13" s="64"/>
      <c r="D13" s="64"/>
      <c r="E13" s="64"/>
      <c r="F13" s="64"/>
      <c r="G13" s="64"/>
      <c r="H13" s="64"/>
      <c r="I13" s="3" t="s">
        <v>81</v>
      </c>
      <c r="J13" s="3" t="s">
        <v>81</v>
      </c>
      <c r="K13" s="3" t="s">
        <v>81</v>
      </c>
      <c r="L13" s="3" t="s">
        <v>81</v>
      </c>
      <c r="M13" s="3" t="s">
        <v>81</v>
      </c>
      <c r="N13" s="3" t="s">
        <v>81</v>
      </c>
      <c r="O13" s="64"/>
      <c r="P13" s="3" t="s">
        <v>82</v>
      </c>
      <c r="Q13" s="3" t="s">
        <v>82</v>
      </c>
    </row>
    <row r="14" spans="3:17" x14ac:dyDescent="0.25">
      <c r="C14" s="64" t="s">
        <v>68</v>
      </c>
      <c r="D14" s="3">
        <v>0</v>
      </c>
      <c r="E14" s="3">
        <v>0.5</v>
      </c>
      <c r="F14" s="3">
        <v>1</v>
      </c>
      <c r="G14" s="3">
        <v>1.5</v>
      </c>
      <c r="H14" s="3">
        <v>2</v>
      </c>
      <c r="I14" s="64">
        <f>ABS(-$E$5+$E$4*D14-$E$3*D14^2/2)</f>
        <v>175.04305289484893</v>
      </c>
      <c r="J14" s="64">
        <f>ABS(-$E$5+$E$4*E14-$E$3*E14^2/2)</f>
        <v>119.0681917837378</v>
      </c>
      <c r="K14" s="64">
        <f>ABS(-$E$5+$E$4*F14-$E$3*F14^2/2)</f>
        <v>67.541664005960001</v>
      </c>
      <c r="L14" s="64">
        <f>ABS(-$E$5+$E$4*G14-$E$3*G14^2/2)</f>
        <v>20.463469561515545</v>
      </c>
      <c r="M14" s="64">
        <f>ABS(-$E$5+$E$4*H14-$E$3*H14^2/2)</f>
        <v>22.166391549595573</v>
      </c>
      <c r="N14" s="64">
        <f>MAX(I14:M14)</f>
        <v>175.04305289484893</v>
      </c>
      <c r="O14" s="64">
        <f>12.5*N14/(2.5*N14+3*J14+4*K14+3*L14)</f>
        <v>1.9425584619545719</v>
      </c>
      <c r="P14" s="3">
        <f t="shared" ref="P14" si="0">ABS($E$4-$E$3*D14)</f>
        <v>116.39805555555559</v>
      </c>
      <c r="Q14" s="3">
        <f t="shared" ref="Q14" si="1">ABS($E$4-$E$3*H14)</f>
        <v>80.811388888888914</v>
      </c>
    </row>
    <row r="15" spans="3:17" x14ac:dyDescent="0.25">
      <c r="C15" s="64" t="s">
        <v>69</v>
      </c>
      <c r="D15" s="3">
        <f>IF(H14=$E$2,0,IF(H14&lt;=$E$2,H14,"-"))</f>
        <v>2</v>
      </c>
      <c r="E15" s="3">
        <f>IF(D15=0,0,IF(H14+2&gt;$E$2,(D15+($E$2-H14)/4),E14+2))</f>
        <v>2.5</v>
      </c>
      <c r="F15" s="3">
        <f>IF(D15=0,0,IF(H14+2&gt;$E$2,(D15+($E$2-H14)/2),F14+2))</f>
        <v>3</v>
      </c>
      <c r="G15" s="3">
        <f>IF(D15=0,0,IF(H14+2&gt;$E$2,(D15+($E$2-H14)*3/4),G14+2))</f>
        <v>3.5</v>
      </c>
      <c r="H15" s="3">
        <f>IF(D15=0,0,IF(H14=$E$2,0,IF(D15+2&gt;$E$2,$E$2,D15+2)))</f>
        <v>4</v>
      </c>
      <c r="I15" s="64">
        <f>IF(D15=0,0,ABS(-$E$5+$E$4*D15-$E$3*D15^2/2))</f>
        <v>22.166391549595573</v>
      </c>
      <c r="J15" s="64">
        <f>IF(D15=0,0,ABS(-$E$5+$E$4*E15-$E$3*E15^2/2))</f>
        <v>60.347919327373354</v>
      </c>
      <c r="K15" s="64">
        <f>IF(D15=0,0,ABS(-$E$5+$E$4*F15-$E$3*F15^2/2))</f>
        <v>94.081113771817826</v>
      </c>
      <c r="L15" s="64">
        <f>IF(D15=0,0,ABS(-$E$5+$E$4*G15-$E$3*G15^2/2))</f>
        <v>123.36597488292892</v>
      </c>
      <c r="M15" s="64">
        <f>IF(D15=0,0,ABS(-$E$5+$E$4*H15-$E$3*H15^2/2))</f>
        <v>148.20250266070673</v>
      </c>
      <c r="N15" s="64">
        <f>IF(D15=0,0,MAX(I15:M15))</f>
        <v>148.20250266070673</v>
      </c>
      <c r="O15" s="64">
        <f>IF(D15=0,0,12.5*N15/(2.5*N15+3*J15+4*K15+3*L15))</f>
        <v>1.4272501412929357</v>
      </c>
      <c r="P15" s="3">
        <f>IF(D15=0,0,ABS($E$4-$E$3*D15))</f>
        <v>80.811388888888914</v>
      </c>
      <c r="Q15" s="3">
        <f>IF(D15=0,0,ABS($E$4-$E$3*H15))</f>
        <v>45.22472222222224</v>
      </c>
    </row>
    <row r="16" spans="3:17" x14ac:dyDescent="0.25">
      <c r="C16" s="64" t="s">
        <v>70</v>
      </c>
      <c r="D16" s="113">
        <f t="shared" ref="D16:D22" si="2">IF(H15=$E$2,0,IF(H15&lt;=$E$2,H15,"-"))</f>
        <v>4</v>
      </c>
      <c r="E16" s="113">
        <f t="shared" ref="E16:E22" si="3">IF(D16=0,0,IF(H15+2&gt;$E$2,(D16+($E$2-H15)/4),E15+2))</f>
        <v>4.5</v>
      </c>
      <c r="F16" s="113">
        <f t="shared" ref="F16:F22" si="4">IF(D16=0,0,IF(H15+2&gt;$E$2,(D16+($E$2-H15)/2),F15+2))</f>
        <v>5</v>
      </c>
      <c r="G16" s="113">
        <f t="shared" ref="G16:G22" si="5">IF(D16=0,0,IF(H15+2&gt;$E$2,(D16+($E$2-H15)*3/4),G15+2))</f>
        <v>5.5</v>
      </c>
      <c r="H16" s="113">
        <f t="shared" ref="H16:H22" si="6">IF(D16=0,0,IF(H15=$E$2,0,IF(D16+2&gt;$E$2,$E$2,D16+2)))</f>
        <v>6</v>
      </c>
      <c r="I16" s="112">
        <f t="shared" ref="I16:I22" si="7">IF(D16=0,0,ABS(-$E$5+$E$4*D16-$E$3*D16^2/2))</f>
        <v>148.20250266070673</v>
      </c>
      <c r="J16" s="112">
        <f t="shared" ref="J16:J22" si="8">IF(D16=0,0,ABS(-$E$5+$E$4*E16-$E$3*E16^2/2))</f>
        <v>168.59069710515115</v>
      </c>
      <c r="K16" s="112">
        <f t="shared" ref="K16:K22" si="9">IF(D16=0,0,ABS(-$E$5+$E$4*F16-$E$3*F16^2/2))</f>
        <v>184.53055821626228</v>
      </c>
      <c r="L16" s="112">
        <f t="shared" ref="L16:L22" si="10">IF(D16=0,0,ABS(-$E$5+$E$4*G16-$E$3*G16^2/2))</f>
        <v>196.02208599404008</v>
      </c>
      <c r="M16" s="112">
        <f t="shared" ref="M16:M22" si="11">IF(D16=0,0,ABS(-$E$5+$E$4*H16-$E$3*H16^2/2))</f>
        <v>203.06528043848459</v>
      </c>
      <c r="N16" s="112">
        <f t="shared" ref="N16:N22" si="12">IF(D16=0,0,MAX(I16:M16))</f>
        <v>203.06528043848459</v>
      </c>
      <c r="O16" s="112">
        <f t="shared" ref="O16:O22" si="13">IF(D16=0,0,12.5*N16/(2.5*N16+3*J16+4*K16+3*L16))</f>
        <v>1.0849248599898687</v>
      </c>
      <c r="P16" s="113">
        <f t="shared" ref="P16:P22" si="14">IF(D16=0,0,ABS($E$4-$E$3*D16))</f>
        <v>45.22472222222224</v>
      </c>
      <c r="Q16" s="113">
        <f t="shared" ref="Q16:Q22" si="15">IF(D16=0,0,ABS($E$4-$E$3*H16))</f>
        <v>9.6380555555555674</v>
      </c>
    </row>
    <row r="17" spans="3:17" x14ac:dyDescent="0.25">
      <c r="C17" s="64" t="s">
        <v>71</v>
      </c>
      <c r="D17" s="113">
        <f t="shared" si="2"/>
        <v>6</v>
      </c>
      <c r="E17" s="113">
        <f t="shared" si="3"/>
        <v>6.5</v>
      </c>
      <c r="F17" s="113">
        <f t="shared" si="4"/>
        <v>7</v>
      </c>
      <c r="G17" s="113">
        <f t="shared" si="5"/>
        <v>7.5</v>
      </c>
      <c r="H17" s="113">
        <f t="shared" si="6"/>
        <v>8</v>
      </c>
      <c r="I17" s="112">
        <f t="shared" si="7"/>
        <v>203.06528043848459</v>
      </c>
      <c r="J17" s="112">
        <f t="shared" si="8"/>
        <v>205.66014154959566</v>
      </c>
      <c r="K17" s="112">
        <f t="shared" si="9"/>
        <v>203.80666932737336</v>
      </c>
      <c r="L17" s="112">
        <f t="shared" si="10"/>
        <v>197.5048637718179</v>
      </c>
      <c r="M17" s="112">
        <f t="shared" si="11"/>
        <v>186.75472488292894</v>
      </c>
      <c r="N17" s="112">
        <f t="shared" si="12"/>
        <v>205.66014154959566</v>
      </c>
      <c r="O17" s="112">
        <f t="shared" si="13"/>
        <v>1.0125566478460533</v>
      </c>
      <c r="P17" s="113">
        <f t="shared" si="14"/>
        <v>9.6380555555555674</v>
      </c>
      <c r="Q17" s="113">
        <f t="shared" si="15"/>
        <v>25.948611111111106</v>
      </c>
    </row>
    <row r="18" spans="3:17" x14ac:dyDescent="0.25">
      <c r="C18" s="64" t="s">
        <v>72</v>
      </c>
      <c r="D18" s="113">
        <f t="shared" si="2"/>
        <v>8</v>
      </c>
      <c r="E18" s="113">
        <f t="shared" si="3"/>
        <v>8.5</v>
      </c>
      <c r="F18" s="113">
        <f t="shared" si="4"/>
        <v>9</v>
      </c>
      <c r="G18" s="113">
        <f t="shared" si="5"/>
        <v>9.5</v>
      </c>
      <c r="H18" s="113">
        <f t="shared" si="6"/>
        <v>10</v>
      </c>
      <c r="I18" s="112">
        <f t="shared" si="7"/>
        <v>186.75472488292894</v>
      </c>
      <c r="J18" s="112">
        <f t="shared" si="8"/>
        <v>171.55625266070683</v>
      </c>
      <c r="K18" s="112">
        <f t="shared" si="9"/>
        <v>151.90944710515123</v>
      </c>
      <c r="L18" s="112">
        <f t="shared" si="10"/>
        <v>127.81430821626248</v>
      </c>
      <c r="M18" s="112">
        <f t="shared" si="11"/>
        <v>99.270835994040112</v>
      </c>
      <c r="N18" s="112">
        <f t="shared" si="12"/>
        <v>186.75472488292894</v>
      </c>
      <c r="O18" s="112">
        <f t="shared" si="13"/>
        <v>1.1834082546530469</v>
      </c>
      <c r="P18" s="113">
        <f t="shared" si="14"/>
        <v>25.948611111111106</v>
      </c>
      <c r="Q18" s="113">
        <f t="shared" si="15"/>
        <v>61.535277777777779</v>
      </c>
    </row>
    <row r="19" spans="3:17" s="76" customFormat="1" x14ac:dyDescent="0.25">
      <c r="C19" s="74" t="str">
        <f>IF(D19=0,0,IF(H19=$E$2,"IC","IJ"))</f>
        <v>IJ</v>
      </c>
      <c r="D19" s="113">
        <f t="shared" si="2"/>
        <v>10</v>
      </c>
      <c r="E19" s="113">
        <f t="shared" si="3"/>
        <v>10.5</v>
      </c>
      <c r="F19" s="113">
        <f t="shared" si="4"/>
        <v>11</v>
      </c>
      <c r="G19" s="113">
        <f t="shared" si="5"/>
        <v>11.5</v>
      </c>
      <c r="H19" s="113">
        <f t="shared" si="6"/>
        <v>12</v>
      </c>
      <c r="I19" s="112">
        <f t="shared" si="7"/>
        <v>99.270835994040112</v>
      </c>
      <c r="J19" s="112">
        <f t="shared" si="8"/>
        <v>66.27903043848471</v>
      </c>
      <c r="K19" s="112">
        <f t="shared" si="9"/>
        <v>28.838891549595701</v>
      </c>
      <c r="L19" s="112">
        <f t="shared" si="10"/>
        <v>13.049580672626689</v>
      </c>
      <c r="M19" s="112">
        <f t="shared" si="11"/>
        <v>59.386386228182118</v>
      </c>
      <c r="N19" s="112">
        <f t="shared" si="12"/>
        <v>99.270835994040112</v>
      </c>
      <c r="O19" s="112">
        <f t="shared" si="13"/>
        <v>2.0629215419833056</v>
      </c>
      <c r="P19" s="113">
        <f t="shared" si="14"/>
        <v>61.535277777777779</v>
      </c>
      <c r="Q19" s="113">
        <f t="shared" si="15"/>
        <v>97.121944444444452</v>
      </c>
    </row>
    <row r="20" spans="3:17" s="76" customFormat="1" x14ac:dyDescent="0.25">
      <c r="C20" s="74" t="str">
        <f>IF(D20=0,0,IF(H20=$E$2,"JC","JK"))</f>
        <v>JC</v>
      </c>
      <c r="D20" s="113">
        <f t="shared" si="2"/>
        <v>12</v>
      </c>
      <c r="E20" s="113">
        <f t="shared" si="3"/>
        <v>12.270833333333334</v>
      </c>
      <c r="F20" s="113">
        <f t="shared" si="4"/>
        <v>12.541666666666668</v>
      </c>
      <c r="G20" s="113">
        <f t="shared" si="5"/>
        <v>12.8125</v>
      </c>
      <c r="H20" s="113">
        <f t="shared" si="6"/>
        <v>13.083333333333334</v>
      </c>
      <c r="I20" s="112">
        <f t="shared" si="7"/>
        <v>59.386386228182118</v>
      </c>
      <c r="J20" s="112">
        <f t="shared" si="8"/>
        <v>86.342822860126489</v>
      </c>
      <c r="K20" s="112">
        <f t="shared" si="9"/>
        <v>114.60441284855256</v>
      </c>
      <c r="L20" s="112">
        <f t="shared" si="10"/>
        <v>144.17115619345986</v>
      </c>
      <c r="M20" s="112">
        <f t="shared" si="11"/>
        <v>175.04305289484887</v>
      </c>
      <c r="N20" s="112">
        <f t="shared" si="12"/>
        <v>175.04305289484887</v>
      </c>
      <c r="O20" s="112">
        <f t="shared" si="13"/>
        <v>1.3782333954299737</v>
      </c>
      <c r="P20" s="113">
        <f t="shared" si="14"/>
        <v>97.121944444444452</v>
      </c>
      <c r="Q20" s="113">
        <f t="shared" si="15"/>
        <v>116.39805555555559</v>
      </c>
    </row>
    <row r="21" spans="3:17" x14ac:dyDescent="0.25">
      <c r="C21" s="64">
        <f>IF(D21=0,0,IF(H21=$E$2,"KC","KL"))</f>
        <v>0</v>
      </c>
      <c r="D21" s="113">
        <f t="shared" si="2"/>
        <v>0</v>
      </c>
      <c r="E21" s="113">
        <f t="shared" si="3"/>
        <v>0</v>
      </c>
      <c r="F21" s="113">
        <f t="shared" si="4"/>
        <v>0</v>
      </c>
      <c r="G21" s="113">
        <f t="shared" si="5"/>
        <v>0</v>
      </c>
      <c r="H21" s="113">
        <f t="shared" si="6"/>
        <v>0</v>
      </c>
      <c r="I21" s="112">
        <f t="shared" si="7"/>
        <v>0</v>
      </c>
      <c r="J21" s="112">
        <f t="shared" si="8"/>
        <v>0</v>
      </c>
      <c r="K21" s="112">
        <f t="shared" si="9"/>
        <v>0</v>
      </c>
      <c r="L21" s="112">
        <f t="shared" si="10"/>
        <v>0</v>
      </c>
      <c r="M21" s="112">
        <f t="shared" si="11"/>
        <v>0</v>
      </c>
      <c r="N21" s="112">
        <f t="shared" si="12"/>
        <v>0</v>
      </c>
      <c r="O21" s="112">
        <f t="shared" si="13"/>
        <v>0</v>
      </c>
      <c r="P21" s="113">
        <f t="shared" si="14"/>
        <v>0</v>
      </c>
      <c r="Q21" s="113">
        <f t="shared" si="15"/>
        <v>0</v>
      </c>
    </row>
    <row r="22" spans="3:17" x14ac:dyDescent="0.25">
      <c r="C22" s="112">
        <f>IF(D22=0,0,IF(H22=$E$2,"LC","LM"))</f>
        <v>0</v>
      </c>
      <c r="D22" s="113">
        <f t="shared" si="2"/>
        <v>0</v>
      </c>
      <c r="E22" s="113">
        <f t="shared" si="3"/>
        <v>0</v>
      </c>
      <c r="F22" s="113">
        <f t="shared" si="4"/>
        <v>0</v>
      </c>
      <c r="G22" s="113">
        <f t="shared" si="5"/>
        <v>0</v>
      </c>
      <c r="H22" s="113">
        <f t="shared" si="6"/>
        <v>0</v>
      </c>
      <c r="I22" s="112">
        <f t="shared" si="7"/>
        <v>0</v>
      </c>
      <c r="J22" s="112">
        <f t="shared" si="8"/>
        <v>0</v>
      </c>
      <c r="K22" s="112">
        <f t="shared" si="9"/>
        <v>0</v>
      </c>
      <c r="L22" s="112">
        <f t="shared" si="10"/>
        <v>0</v>
      </c>
      <c r="M22" s="112">
        <f t="shared" si="11"/>
        <v>0</v>
      </c>
      <c r="N22" s="112">
        <f t="shared" si="12"/>
        <v>0</v>
      </c>
      <c r="O22" s="112">
        <f t="shared" si="13"/>
        <v>0</v>
      </c>
      <c r="P22" s="113">
        <f t="shared" si="14"/>
        <v>0</v>
      </c>
      <c r="Q22" s="113">
        <f t="shared" si="15"/>
        <v>0</v>
      </c>
    </row>
    <row r="23" spans="3:17" s="76" customFormat="1" x14ac:dyDescent="0.25">
      <c r="C23" s="63"/>
      <c r="D23" s="75"/>
      <c r="E23" s="75"/>
      <c r="F23" s="75"/>
      <c r="G23" s="75"/>
      <c r="H23" s="75"/>
      <c r="I23" s="63"/>
      <c r="J23" s="63"/>
      <c r="K23" s="63"/>
      <c r="L23" s="63"/>
      <c r="M23" s="63"/>
      <c r="N23" s="63"/>
      <c r="O23" s="63"/>
      <c r="P23" s="75"/>
      <c r="Q23" s="75"/>
    </row>
    <row r="24" spans="3:17" s="76" customFormat="1" x14ac:dyDescent="0.25">
      <c r="C24" s="63"/>
      <c r="D24" s="75"/>
      <c r="E24" s="75"/>
      <c r="F24" s="75"/>
      <c r="G24" s="75"/>
      <c r="H24" s="75"/>
      <c r="I24" s="63"/>
      <c r="J24" s="63"/>
      <c r="K24" s="63"/>
      <c r="L24" s="63"/>
      <c r="M24" s="63"/>
      <c r="N24" s="63"/>
      <c r="O24" s="63"/>
      <c r="P24" s="75"/>
      <c r="Q24" s="75"/>
    </row>
    <row r="25" spans="3:17" s="76" customFormat="1" x14ac:dyDescent="0.25">
      <c r="C25" s="63"/>
      <c r="D25" s="75"/>
      <c r="E25" s="75"/>
      <c r="F25" s="75"/>
      <c r="G25" s="75"/>
      <c r="H25" s="75"/>
      <c r="I25" s="63"/>
      <c r="J25" s="63"/>
      <c r="K25" s="63"/>
      <c r="L25" s="63"/>
      <c r="M25" s="63"/>
      <c r="N25" s="63"/>
      <c r="O25" s="63"/>
      <c r="P25" s="75"/>
      <c r="Q25" s="75"/>
    </row>
    <row r="26" spans="3:17" ht="15.75" thickBot="1" x14ac:dyDescent="0.3"/>
    <row r="27" spans="3:17" ht="15.75" thickBot="1" x14ac:dyDescent="0.3">
      <c r="H27" s="91" t="s">
        <v>67</v>
      </c>
      <c r="I27" s="94" t="s">
        <v>124</v>
      </c>
      <c r="J27" s="92" t="s">
        <v>60</v>
      </c>
      <c r="K27" s="92" t="s">
        <v>59</v>
      </c>
      <c r="L27" s="92" t="s">
        <v>61</v>
      </c>
      <c r="M27" s="92" t="s">
        <v>62</v>
      </c>
      <c r="N27" s="93" t="s">
        <v>64</v>
      </c>
    </row>
    <row r="28" spans="3:17" x14ac:dyDescent="0.25">
      <c r="H28" s="97" t="str">
        <f>C14</f>
        <v>BE</v>
      </c>
      <c r="I28" s="67">
        <f>H14</f>
        <v>2</v>
      </c>
      <c r="J28" s="67">
        <f>J14</f>
        <v>119.0681917837378</v>
      </c>
      <c r="K28" s="67">
        <f>K14</f>
        <v>67.541664005960001</v>
      </c>
      <c r="L28" s="67">
        <f>L14</f>
        <v>20.463469561515545</v>
      </c>
      <c r="M28" s="67">
        <f>N14</f>
        <v>175.04305289484893</v>
      </c>
      <c r="N28" s="68">
        <f>O14</f>
        <v>1.9425584619545719</v>
      </c>
    </row>
    <row r="29" spans="3:17" x14ac:dyDescent="0.25">
      <c r="H29" s="97" t="str">
        <f t="shared" ref="H29:H36" si="16">C15</f>
        <v>EF</v>
      </c>
      <c r="I29" s="73">
        <f t="shared" ref="I29:I36" si="17">H15</f>
        <v>4</v>
      </c>
      <c r="J29" s="73">
        <f t="shared" ref="J29:L36" si="18">J15</f>
        <v>60.347919327373354</v>
      </c>
      <c r="K29" s="73">
        <f t="shared" si="18"/>
        <v>94.081113771817826</v>
      </c>
      <c r="L29" s="73">
        <f t="shared" si="18"/>
        <v>123.36597488292892</v>
      </c>
      <c r="M29" s="73">
        <f t="shared" ref="M29:N36" si="19">N15</f>
        <v>148.20250266070673</v>
      </c>
      <c r="N29" s="72">
        <f t="shared" si="19"/>
        <v>1.4272501412929357</v>
      </c>
    </row>
    <row r="30" spans="3:17" x14ac:dyDescent="0.25">
      <c r="H30" s="97" t="str">
        <f t="shared" si="16"/>
        <v>FG</v>
      </c>
      <c r="I30" s="73">
        <f t="shared" si="17"/>
        <v>6</v>
      </c>
      <c r="J30" s="73">
        <f t="shared" si="18"/>
        <v>168.59069710515115</v>
      </c>
      <c r="K30" s="73">
        <f t="shared" si="18"/>
        <v>184.53055821626228</v>
      </c>
      <c r="L30" s="73">
        <f t="shared" si="18"/>
        <v>196.02208599404008</v>
      </c>
      <c r="M30" s="73">
        <f t="shared" si="19"/>
        <v>203.06528043848459</v>
      </c>
      <c r="N30" s="72">
        <f t="shared" si="19"/>
        <v>1.0849248599898687</v>
      </c>
    </row>
    <row r="31" spans="3:17" x14ac:dyDescent="0.25">
      <c r="H31" s="97" t="str">
        <f t="shared" si="16"/>
        <v>GH</v>
      </c>
      <c r="I31" s="73">
        <f t="shared" si="17"/>
        <v>8</v>
      </c>
      <c r="J31" s="73">
        <f t="shared" si="18"/>
        <v>205.66014154959566</v>
      </c>
      <c r="K31" s="73">
        <f t="shared" si="18"/>
        <v>203.80666932737336</v>
      </c>
      <c r="L31" s="73">
        <f t="shared" si="18"/>
        <v>197.5048637718179</v>
      </c>
      <c r="M31" s="73">
        <f t="shared" si="19"/>
        <v>205.66014154959566</v>
      </c>
      <c r="N31" s="72">
        <f t="shared" si="19"/>
        <v>1.0125566478460533</v>
      </c>
    </row>
    <row r="32" spans="3:17" x14ac:dyDescent="0.25">
      <c r="H32" s="97" t="str">
        <f t="shared" si="16"/>
        <v>HI</v>
      </c>
      <c r="I32" s="73">
        <f t="shared" si="17"/>
        <v>10</v>
      </c>
      <c r="J32" s="73">
        <f t="shared" si="18"/>
        <v>171.55625266070683</v>
      </c>
      <c r="K32" s="73">
        <f t="shared" si="18"/>
        <v>151.90944710515123</v>
      </c>
      <c r="L32" s="73">
        <f t="shared" si="18"/>
        <v>127.81430821626248</v>
      </c>
      <c r="M32" s="73">
        <f t="shared" si="19"/>
        <v>186.75472488292894</v>
      </c>
      <c r="N32" s="72">
        <f t="shared" si="19"/>
        <v>1.1834082546530469</v>
      </c>
    </row>
    <row r="33" spans="8:14" x14ac:dyDescent="0.25">
      <c r="H33" s="97" t="str">
        <f t="shared" si="16"/>
        <v>IJ</v>
      </c>
      <c r="I33" s="73">
        <f t="shared" si="17"/>
        <v>12</v>
      </c>
      <c r="J33" s="73">
        <f t="shared" si="18"/>
        <v>66.27903043848471</v>
      </c>
      <c r="K33" s="73">
        <f t="shared" si="18"/>
        <v>28.838891549595701</v>
      </c>
      <c r="L33" s="73">
        <f t="shared" si="18"/>
        <v>13.049580672626689</v>
      </c>
      <c r="M33" s="73">
        <f t="shared" si="19"/>
        <v>99.270835994040112</v>
      </c>
      <c r="N33" s="72">
        <f t="shared" si="19"/>
        <v>2.0629215419833056</v>
      </c>
    </row>
    <row r="34" spans="8:14" x14ac:dyDescent="0.25">
      <c r="H34" s="97" t="str">
        <f t="shared" si="16"/>
        <v>JC</v>
      </c>
      <c r="I34" s="73">
        <f t="shared" si="17"/>
        <v>13.083333333333334</v>
      </c>
      <c r="J34" s="73">
        <f t="shared" si="18"/>
        <v>86.342822860126489</v>
      </c>
      <c r="K34" s="73">
        <f t="shared" si="18"/>
        <v>114.60441284855256</v>
      </c>
      <c r="L34" s="73">
        <f t="shared" si="18"/>
        <v>144.17115619345986</v>
      </c>
      <c r="M34" s="73">
        <f t="shared" si="19"/>
        <v>175.04305289484887</v>
      </c>
      <c r="N34" s="72">
        <f t="shared" si="19"/>
        <v>1.3782333954299737</v>
      </c>
    </row>
    <row r="35" spans="8:14" s="76" customFormat="1" x14ac:dyDescent="0.25">
      <c r="H35" s="97">
        <f t="shared" si="16"/>
        <v>0</v>
      </c>
      <c r="I35" s="73">
        <f t="shared" si="17"/>
        <v>0</v>
      </c>
      <c r="J35" s="73">
        <f t="shared" si="18"/>
        <v>0</v>
      </c>
      <c r="K35" s="73">
        <f t="shared" si="18"/>
        <v>0</v>
      </c>
      <c r="L35" s="73">
        <f t="shared" si="18"/>
        <v>0</v>
      </c>
      <c r="M35" s="73">
        <f t="shared" si="19"/>
        <v>0</v>
      </c>
      <c r="N35" s="72">
        <f t="shared" si="19"/>
        <v>0</v>
      </c>
    </row>
    <row r="36" spans="8:14" s="76" customFormat="1" x14ac:dyDescent="0.25">
      <c r="H36" s="97">
        <f t="shared" si="16"/>
        <v>0</v>
      </c>
      <c r="I36" s="73">
        <f t="shared" si="17"/>
        <v>0</v>
      </c>
      <c r="J36" s="73">
        <f t="shared" si="18"/>
        <v>0</v>
      </c>
      <c r="K36" s="73">
        <f t="shared" si="18"/>
        <v>0</v>
      </c>
      <c r="L36" s="73">
        <f t="shared" si="18"/>
        <v>0</v>
      </c>
      <c r="M36" s="73">
        <f t="shared" si="19"/>
        <v>0</v>
      </c>
      <c r="N36" s="72">
        <f t="shared" si="19"/>
        <v>0</v>
      </c>
    </row>
    <row r="37" spans="8:14" s="76" customFormat="1" x14ac:dyDescent="0.25">
      <c r="H37" s="97"/>
      <c r="I37" s="75"/>
      <c r="J37" s="75"/>
      <c r="K37" s="75"/>
      <c r="L37" s="75"/>
      <c r="M37" s="75"/>
      <c r="N37" s="75"/>
    </row>
    <row r="40" spans="8:14" x14ac:dyDescent="0.25">
      <c r="I40" s="134" t="s">
        <v>67</v>
      </c>
      <c r="J40" s="64" t="s">
        <v>62</v>
      </c>
      <c r="K40" s="64" t="s">
        <v>77</v>
      </c>
      <c r="L40" s="64" t="s">
        <v>78</v>
      </c>
      <c r="M40" s="134" t="s">
        <v>63</v>
      </c>
      <c r="N40" s="64" t="s">
        <v>79</v>
      </c>
    </row>
    <row r="41" spans="8:14" x14ac:dyDescent="0.25">
      <c r="I41" s="134"/>
      <c r="J41" s="64" t="s">
        <v>81</v>
      </c>
      <c r="K41" s="64" t="s">
        <v>82</v>
      </c>
      <c r="L41" s="64" t="s">
        <v>4</v>
      </c>
      <c r="M41" s="134"/>
      <c r="N41" s="64" t="s">
        <v>81</v>
      </c>
    </row>
    <row r="42" spans="8:14" x14ac:dyDescent="0.25">
      <c r="I42" s="64" t="str">
        <f>H28</f>
        <v>BE</v>
      </c>
      <c r="J42" s="64">
        <f>N14</f>
        <v>175.04305289484893</v>
      </c>
      <c r="K42" s="64">
        <f>MAX(P14:Q14)</f>
        <v>116.39805555555559</v>
      </c>
      <c r="L42" s="64">
        <v>2</v>
      </c>
      <c r="M42" s="64">
        <f>O14</f>
        <v>1.9425584619545719</v>
      </c>
      <c r="N42" s="64">
        <f>J42/M42</f>
        <v>90.109541783737797</v>
      </c>
    </row>
    <row r="43" spans="8:14" x14ac:dyDescent="0.25">
      <c r="I43" s="74" t="str">
        <f t="shared" ref="I43:I50" si="20">H29</f>
        <v>EF</v>
      </c>
      <c r="J43" s="74">
        <f t="shared" ref="J43:J50" si="21">N15</f>
        <v>148.20250266070673</v>
      </c>
      <c r="K43" s="74">
        <f t="shared" ref="K43:K50" si="22">MAX(P15:Q15)</f>
        <v>80.811388888888914</v>
      </c>
      <c r="L43" s="74">
        <v>2</v>
      </c>
      <c r="M43" s="74">
        <f t="shared" ref="M43:M50" si="23">O15</f>
        <v>1.4272501412929357</v>
      </c>
      <c r="N43" s="74">
        <f t="shared" ref="N43:N50" si="24">J43/M43</f>
        <v>103.83779154959561</v>
      </c>
    </row>
    <row r="44" spans="8:14" x14ac:dyDescent="0.25">
      <c r="I44" s="74" t="str">
        <f t="shared" si="20"/>
        <v>FG</v>
      </c>
      <c r="J44" s="74">
        <f t="shared" si="21"/>
        <v>203.06528043848459</v>
      </c>
      <c r="K44" s="74">
        <f t="shared" si="22"/>
        <v>45.22472222222224</v>
      </c>
      <c r="L44" s="74">
        <v>2</v>
      </c>
      <c r="M44" s="74">
        <f t="shared" si="23"/>
        <v>1.0849248599898687</v>
      </c>
      <c r="N44" s="74">
        <f t="shared" si="24"/>
        <v>187.16990266070673</v>
      </c>
    </row>
    <row r="45" spans="8:14" x14ac:dyDescent="0.25">
      <c r="I45" s="74" t="str">
        <f t="shared" si="20"/>
        <v>GH</v>
      </c>
      <c r="J45" s="74">
        <f t="shared" si="21"/>
        <v>205.66014154959566</v>
      </c>
      <c r="K45" s="74">
        <f t="shared" si="22"/>
        <v>25.948611111111106</v>
      </c>
      <c r="L45" s="74">
        <v>2</v>
      </c>
      <c r="M45" s="74">
        <f t="shared" si="23"/>
        <v>1.0125566478460533</v>
      </c>
      <c r="N45" s="74">
        <f t="shared" si="24"/>
        <v>203.10976377181788</v>
      </c>
    </row>
    <row r="46" spans="8:14" x14ac:dyDescent="0.25">
      <c r="I46" s="74" t="str">
        <f t="shared" si="20"/>
        <v>HI</v>
      </c>
      <c r="J46" s="74">
        <f t="shared" si="21"/>
        <v>186.75472488292894</v>
      </c>
      <c r="K46" s="74">
        <f t="shared" si="22"/>
        <v>61.535277777777779</v>
      </c>
      <c r="L46" s="74">
        <v>2</v>
      </c>
      <c r="M46" s="74">
        <f t="shared" si="23"/>
        <v>1.1834082546530469</v>
      </c>
      <c r="N46" s="74">
        <f t="shared" si="24"/>
        <v>157.81090266070683</v>
      </c>
    </row>
    <row r="47" spans="8:14" x14ac:dyDescent="0.25">
      <c r="I47" s="74" t="str">
        <f t="shared" si="20"/>
        <v>IJ</v>
      </c>
      <c r="J47" s="74">
        <f t="shared" si="21"/>
        <v>99.270835994040112</v>
      </c>
      <c r="K47" s="74">
        <f t="shared" si="22"/>
        <v>97.121944444444452</v>
      </c>
      <c r="L47" s="74">
        <v>2</v>
      </c>
      <c r="M47" s="74">
        <f t="shared" si="23"/>
        <v>2.0629215419833056</v>
      </c>
      <c r="N47" s="74">
        <f t="shared" si="24"/>
        <v>48.121479161345377</v>
      </c>
    </row>
    <row r="48" spans="8:14" x14ac:dyDescent="0.25">
      <c r="I48" s="74" t="str">
        <f t="shared" si="20"/>
        <v>JC</v>
      </c>
      <c r="J48" s="74">
        <f t="shared" si="21"/>
        <v>175.04305289484887</v>
      </c>
      <c r="K48" s="74">
        <f t="shared" si="22"/>
        <v>116.39805555555559</v>
      </c>
      <c r="L48" s="74">
        <v>2</v>
      </c>
      <c r="M48" s="74">
        <f t="shared" si="23"/>
        <v>1.3782333954299737</v>
      </c>
      <c r="N48" s="74">
        <f t="shared" si="24"/>
        <v>127.00537766336731</v>
      </c>
    </row>
    <row r="49" spans="8:14" s="76" customFormat="1" x14ac:dyDescent="0.25">
      <c r="I49" s="74">
        <f t="shared" si="20"/>
        <v>0</v>
      </c>
      <c r="J49" s="74">
        <f t="shared" si="21"/>
        <v>0</v>
      </c>
      <c r="K49" s="74">
        <f t="shared" si="22"/>
        <v>0</v>
      </c>
      <c r="L49" s="74">
        <v>2</v>
      </c>
      <c r="M49" s="74">
        <f t="shared" si="23"/>
        <v>0</v>
      </c>
      <c r="N49" s="74" t="e">
        <f t="shared" si="24"/>
        <v>#DIV/0!</v>
      </c>
    </row>
    <row r="50" spans="8:14" s="76" customFormat="1" x14ac:dyDescent="0.25">
      <c r="I50" s="74">
        <f t="shared" si="20"/>
        <v>0</v>
      </c>
      <c r="J50" s="74">
        <f t="shared" si="21"/>
        <v>0</v>
      </c>
      <c r="K50" s="74">
        <f t="shared" si="22"/>
        <v>0</v>
      </c>
      <c r="L50" s="74">
        <v>0.5</v>
      </c>
      <c r="M50" s="74">
        <f t="shared" si="23"/>
        <v>0</v>
      </c>
      <c r="N50" s="74" t="e">
        <f t="shared" si="24"/>
        <v>#DIV/0!</v>
      </c>
    </row>
    <row r="51" spans="8:14" s="76" customFormat="1" x14ac:dyDescent="0.25">
      <c r="I51" s="63"/>
      <c r="J51" s="74"/>
      <c r="K51" s="63"/>
      <c r="L51" s="63"/>
      <c r="M51" s="63"/>
      <c r="N51" s="63"/>
    </row>
    <row r="52" spans="8:14" ht="15.75" thickBot="1" x14ac:dyDescent="0.3"/>
    <row r="53" spans="8:14" ht="15.75" thickBot="1" x14ac:dyDescent="0.3">
      <c r="J53" s="91" t="s">
        <v>80</v>
      </c>
      <c r="K53" s="103">
        <f>J46</f>
        <v>186.75472488292894</v>
      </c>
    </row>
    <row r="54" spans="8:14" ht="15.75" thickBot="1" x14ac:dyDescent="0.3"/>
    <row r="55" spans="8:14" x14ac:dyDescent="0.25">
      <c r="H55" s="84" t="s">
        <v>84</v>
      </c>
      <c r="I55" s="90" t="s">
        <v>85</v>
      </c>
    </row>
    <row r="56" spans="8:14" ht="15.75" thickBot="1" x14ac:dyDescent="0.3">
      <c r="H56" s="96" t="s">
        <v>86</v>
      </c>
      <c r="I56" s="104" t="s">
        <v>87</v>
      </c>
    </row>
    <row r="57" spans="8:14" ht="15.75" thickBot="1" x14ac:dyDescent="0.3"/>
    <row r="58" spans="8:14" x14ac:dyDescent="0.25">
      <c r="J58" s="168" t="s">
        <v>125</v>
      </c>
      <c r="K58" s="169"/>
      <c r="L58" s="170"/>
    </row>
    <row r="59" spans="8:14" x14ac:dyDescent="0.25">
      <c r="J59" s="171" t="s">
        <v>88</v>
      </c>
      <c r="K59" s="134"/>
      <c r="L59" s="135"/>
    </row>
    <row r="60" spans="8:14" x14ac:dyDescent="0.25">
      <c r="J60" s="95" t="s">
        <v>89</v>
      </c>
      <c r="K60" s="172">
        <f>E6*(E2*1000)^4*360/(384*200000*E2*1000)</f>
        <v>65239183.321352378</v>
      </c>
      <c r="L60" s="173"/>
    </row>
    <row r="61" spans="8:14" ht="15.75" thickBot="1" x14ac:dyDescent="0.3">
      <c r="J61" s="96" t="s">
        <v>90</v>
      </c>
      <c r="K61" s="12" t="s">
        <v>126</v>
      </c>
      <c r="L61" s="8">
        <f>K53*10^6/(0.9*250)</f>
        <v>830020.99947968416</v>
      </c>
    </row>
    <row r="62" spans="8:14" ht="15.75" thickBot="1" x14ac:dyDescent="0.3"/>
    <row r="63" spans="8:14" x14ac:dyDescent="0.25">
      <c r="I63" s="105" t="s">
        <v>91</v>
      </c>
      <c r="J63" s="106" t="s">
        <v>133</v>
      </c>
    </row>
    <row r="64" spans="8:14" x14ac:dyDescent="0.25">
      <c r="I64" s="107" t="s">
        <v>122</v>
      </c>
      <c r="J64" s="108">
        <v>60</v>
      </c>
    </row>
    <row r="65" spans="9:17" x14ac:dyDescent="0.25">
      <c r="I65" s="107" t="s">
        <v>105</v>
      </c>
      <c r="J65" s="7">
        <v>1195000</v>
      </c>
    </row>
    <row r="66" spans="9:17" x14ac:dyDescent="0.25">
      <c r="I66" s="107" t="s">
        <v>92</v>
      </c>
      <c r="J66" s="7">
        <v>269</v>
      </c>
    </row>
    <row r="67" spans="9:17" x14ac:dyDescent="0.25">
      <c r="I67" s="107" t="s">
        <v>93</v>
      </c>
      <c r="J67" s="7">
        <v>167</v>
      </c>
    </row>
    <row r="68" spans="9:17" x14ac:dyDescent="0.25">
      <c r="I68" s="107" t="s">
        <v>94</v>
      </c>
      <c r="J68" s="7">
        <v>1.99</v>
      </c>
    </row>
    <row r="69" spans="9:17" x14ac:dyDescent="0.25">
      <c r="I69" s="107" t="s">
        <v>95</v>
      </c>
      <c r="J69" s="7">
        <v>5.94</v>
      </c>
    </row>
    <row r="70" spans="9:17" x14ac:dyDescent="0.25">
      <c r="I70" s="107" t="s">
        <v>96</v>
      </c>
      <c r="J70" s="7">
        <v>28.6</v>
      </c>
    </row>
    <row r="71" spans="9:17" x14ac:dyDescent="0.25">
      <c r="I71" s="107" t="s">
        <v>97</v>
      </c>
      <c r="J71" s="7">
        <v>406</v>
      </c>
    </row>
    <row r="72" spans="9:17" x14ac:dyDescent="0.25">
      <c r="I72" s="107" t="s">
        <v>98</v>
      </c>
      <c r="J72" s="7">
        <v>6.9</v>
      </c>
    </row>
    <row r="73" spans="9:17" x14ac:dyDescent="0.25">
      <c r="I73" s="107" t="s">
        <v>99</v>
      </c>
      <c r="J73" s="7">
        <v>46.6</v>
      </c>
    </row>
    <row r="74" spans="9:17" ht="15.75" thickBot="1" x14ac:dyDescent="0.3">
      <c r="I74" s="109" t="s">
        <v>114</v>
      </c>
      <c r="J74" s="80">
        <v>7.75</v>
      </c>
    </row>
    <row r="75" spans="9:17" s="115" customFormat="1" x14ac:dyDescent="0.25">
      <c r="I75" s="119" t="s">
        <v>134</v>
      </c>
      <c r="J75" s="114">
        <v>212000000</v>
      </c>
    </row>
    <row r="76" spans="9:17" x14ac:dyDescent="0.25">
      <c r="I76" s="110" t="s">
        <v>100</v>
      </c>
      <c r="J76" s="67">
        <f>J68+J66/(0.9*J70)*(MIN(M42:M48)-1)/MIN(M42:M48)</f>
        <v>2.1195979472523998</v>
      </c>
      <c r="K76" s="71" t="s">
        <v>101</v>
      </c>
    </row>
    <row r="77" spans="9:17" x14ac:dyDescent="0.25">
      <c r="I77" s="111" t="s">
        <v>102</v>
      </c>
    </row>
    <row r="78" spans="9:17" ht="15.75" thickBot="1" x14ac:dyDescent="0.3">
      <c r="I78" s="185" t="str">
        <f>IF(L45&gt;J76,"Your case is different so concern the book.","Apply checks")</f>
        <v>Apply checks</v>
      </c>
      <c r="J78" s="186"/>
      <c r="K78" s="186"/>
      <c r="L78" s="186"/>
      <c r="M78" s="186"/>
      <c r="N78" s="186"/>
      <c r="O78" s="186"/>
      <c r="P78" s="186"/>
      <c r="Q78" s="186"/>
    </row>
    <row r="79" spans="9:17" x14ac:dyDescent="0.25">
      <c r="I79" s="84" t="s">
        <v>103</v>
      </c>
      <c r="J79" s="70"/>
      <c r="K79" s="70"/>
      <c r="L79" s="77"/>
    </row>
    <row r="80" spans="9:17" x14ac:dyDescent="0.25">
      <c r="I80" s="78" t="s">
        <v>104</v>
      </c>
      <c r="J80" s="65">
        <f>0.9*J65*250/10^6</f>
        <v>268.875</v>
      </c>
      <c r="K80" s="65" t="s">
        <v>81</v>
      </c>
      <c r="L80" s="79"/>
    </row>
    <row r="81" spans="9:20" ht="15.75" thickBot="1" x14ac:dyDescent="0.3">
      <c r="I81" s="69" t="str">
        <f>IF(J80&gt;K53,"QbMn&gt;Mu","QbMn&lt;Mu")</f>
        <v>QbMn&gt;Mu</v>
      </c>
      <c r="J81" s="85" t="str">
        <f>IF(J80&gt;K53,"OK","Not Ok")</f>
        <v>OK</v>
      </c>
      <c r="K81" s="83"/>
      <c r="L81" s="80"/>
    </row>
    <row r="82" spans="9:20" ht="15.75" thickBot="1" x14ac:dyDescent="0.3"/>
    <row r="83" spans="9:20" x14ac:dyDescent="0.25">
      <c r="I83" s="86" t="s">
        <v>107</v>
      </c>
      <c r="J83" s="70"/>
      <c r="K83" s="70"/>
      <c r="L83" s="77"/>
    </row>
    <row r="84" spans="9:20" x14ac:dyDescent="0.25">
      <c r="I84" s="78" t="s">
        <v>106</v>
      </c>
      <c r="J84" s="65"/>
      <c r="K84" s="65"/>
      <c r="L84" s="79"/>
    </row>
    <row r="85" spans="9:20" x14ac:dyDescent="0.25">
      <c r="I85" s="175" t="s">
        <v>108</v>
      </c>
      <c r="J85" s="123"/>
      <c r="K85" s="65"/>
      <c r="L85" s="79"/>
    </row>
    <row r="86" spans="9:20" x14ac:dyDescent="0.25">
      <c r="I86" s="78" t="s">
        <v>109</v>
      </c>
      <c r="J86" s="65">
        <f>J73</f>
        <v>46.6</v>
      </c>
      <c r="K86" s="65"/>
      <c r="L86" s="79"/>
    </row>
    <row r="87" spans="9:20" x14ac:dyDescent="0.25">
      <c r="I87" s="78" t="s">
        <v>110</v>
      </c>
      <c r="J87" s="65">
        <f>2.24*SQRT(200000/250)</f>
        <v>63.356767594314668</v>
      </c>
      <c r="K87" s="65"/>
      <c r="L87" s="79"/>
    </row>
    <row r="88" spans="9:20" x14ac:dyDescent="0.25">
      <c r="I88" s="78"/>
      <c r="J88" s="87" t="str">
        <f>IF(J86&lt;=J87,"OK","NOT Ok")</f>
        <v>OK</v>
      </c>
      <c r="K88" s="65"/>
      <c r="L88" s="79"/>
    </row>
    <row r="89" spans="9:20" x14ac:dyDescent="0.25">
      <c r="I89" s="78" t="s">
        <v>111</v>
      </c>
      <c r="J89" s="65"/>
      <c r="K89" s="65"/>
      <c r="L89" s="79"/>
    </row>
    <row r="90" spans="9:20" x14ac:dyDescent="0.25">
      <c r="I90" s="78" t="s">
        <v>112</v>
      </c>
      <c r="J90" s="123" t="s">
        <v>113</v>
      </c>
      <c r="K90" s="123"/>
      <c r="L90" s="79">
        <f>0.9*0.6*250*J71*J74*1/1000</f>
        <v>424.77749999999997</v>
      </c>
      <c r="O90" s="2" t="s">
        <v>127</v>
      </c>
      <c r="P90" s="2" t="s">
        <v>128</v>
      </c>
      <c r="Q90" s="2" t="s">
        <v>129</v>
      </c>
      <c r="R90" s="2" t="s">
        <v>104</v>
      </c>
      <c r="S90" s="2" t="s">
        <v>130</v>
      </c>
      <c r="T90" s="2" t="s">
        <v>131</v>
      </c>
    </row>
    <row r="91" spans="9:20" ht="15.75" thickBot="1" x14ac:dyDescent="0.3">
      <c r="I91" s="69" t="str">
        <f>IF(L90&gt;K45,"QVn&gt;Vu","QVn&lt;Vu")</f>
        <v>QVn&gt;Vu</v>
      </c>
      <c r="J91" s="85" t="str">
        <f>IF(L90&gt;K45,"Ok","not Ok")</f>
        <v>Ok</v>
      </c>
      <c r="K91" s="83"/>
      <c r="L91" s="80"/>
      <c r="O91" s="2" t="str">
        <f t="shared" ref="O91:O99" si="25">I42</f>
        <v>BE</v>
      </c>
      <c r="P91" s="2">
        <f t="shared" ref="P91:P99" si="26">L42</f>
        <v>2</v>
      </c>
      <c r="Q91" s="2" t="s">
        <v>132</v>
      </c>
      <c r="R91" s="2">
        <f>$J$80</f>
        <v>268.875</v>
      </c>
      <c r="S91" s="2">
        <f t="shared" ref="S91:S99" si="27">J42</f>
        <v>175.04305289484893</v>
      </c>
      <c r="T91" s="2" t="str">
        <f>IF(R91&gt;S91,"OK","Not OK")</f>
        <v>OK</v>
      </c>
    </row>
    <row r="92" spans="9:20" ht="15.75" thickBot="1" x14ac:dyDescent="0.3">
      <c r="O92" s="76" t="str">
        <f t="shared" si="25"/>
        <v>EF</v>
      </c>
      <c r="P92" s="76">
        <f t="shared" si="26"/>
        <v>2</v>
      </c>
      <c r="Q92" s="76" t="s">
        <v>132</v>
      </c>
      <c r="R92" s="76">
        <f t="shared" ref="R92:R99" si="28">$J$80</f>
        <v>268.875</v>
      </c>
      <c r="S92" s="76">
        <f t="shared" si="27"/>
        <v>148.20250266070673</v>
      </c>
      <c r="T92" s="76" t="str">
        <f t="shared" ref="T92:T99" si="29">IF(R92&gt;S92,"OK","Not OK")</f>
        <v>OK</v>
      </c>
    </row>
    <row r="93" spans="9:20" x14ac:dyDescent="0.25">
      <c r="I93" s="86" t="s">
        <v>115</v>
      </c>
      <c r="J93" s="163" t="s">
        <v>116</v>
      </c>
      <c r="K93" s="174"/>
      <c r="O93" s="76" t="str">
        <f t="shared" si="25"/>
        <v>FG</v>
      </c>
      <c r="P93" s="76">
        <f t="shared" si="26"/>
        <v>2</v>
      </c>
      <c r="Q93" s="76" t="s">
        <v>132</v>
      </c>
      <c r="R93" s="76">
        <f t="shared" si="28"/>
        <v>268.875</v>
      </c>
      <c r="S93" s="76">
        <f t="shared" si="27"/>
        <v>203.06528043848459</v>
      </c>
      <c r="T93" s="76" t="str">
        <f t="shared" si="29"/>
        <v>OK</v>
      </c>
    </row>
    <row r="94" spans="9:20" x14ac:dyDescent="0.25">
      <c r="I94" s="81" t="s">
        <v>117</v>
      </c>
      <c r="J94" s="87" t="str">
        <f>IF(J72&lt;10.7,"OK","Not OK")</f>
        <v>OK</v>
      </c>
      <c r="K94" s="79"/>
      <c r="O94" s="76" t="str">
        <f t="shared" si="25"/>
        <v>GH</v>
      </c>
      <c r="P94" s="76">
        <f t="shared" si="26"/>
        <v>2</v>
      </c>
      <c r="Q94" s="76" t="s">
        <v>132</v>
      </c>
      <c r="R94" s="76">
        <f t="shared" si="28"/>
        <v>268.875</v>
      </c>
      <c r="S94" s="76">
        <f t="shared" si="27"/>
        <v>205.66014154959566</v>
      </c>
      <c r="T94" s="76" t="str">
        <f t="shared" si="29"/>
        <v>OK</v>
      </c>
    </row>
    <row r="95" spans="9:20" ht="15.75" thickBot="1" x14ac:dyDescent="0.3">
      <c r="I95" s="82" t="s">
        <v>118</v>
      </c>
      <c r="J95" s="85" t="str">
        <f>IF(J73&lt;106.7,"OK","Not Ok")</f>
        <v>OK</v>
      </c>
      <c r="K95" s="80"/>
      <c r="O95" s="76" t="str">
        <f t="shared" si="25"/>
        <v>HI</v>
      </c>
      <c r="P95" s="76">
        <f t="shared" si="26"/>
        <v>2</v>
      </c>
      <c r="Q95" s="76" t="s">
        <v>132</v>
      </c>
      <c r="R95" s="76">
        <f t="shared" si="28"/>
        <v>268.875</v>
      </c>
      <c r="S95" s="76">
        <f t="shared" si="27"/>
        <v>186.75472488292894</v>
      </c>
      <c r="T95" s="76" t="str">
        <f t="shared" si="29"/>
        <v>OK</v>
      </c>
    </row>
    <row r="96" spans="9:20" ht="15.75" thickBot="1" x14ac:dyDescent="0.3">
      <c r="O96" s="76" t="str">
        <f t="shared" si="25"/>
        <v>IJ</v>
      </c>
      <c r="P96" s="76">
        <f t="shared" si="26"/>
        <v>2</v>
      </c>
      <c r="Q96" s="76" t="s">
        <v>132</v>
      </c>
      <c r="R96" s="76">
        <f t="shared" si="28"/>
        <v>268.875</v>
      </c>
      <c r="S96" s="76">
        <f t="shared" si="27"/>
        <v>99.270835994040112</v>
      </c>
      <c r="T96" s="76" t="str">
        <f t="shared" si="29"/>
        <v>OK</v>
      </c>
    </row>
    <row r="97" spans="8:20" x14ac:dyDescent="0.25">
      <c r="H97" s="66"/>
      <c r="I97" s="88" t="s">
        <v>119</v>
      </c>
      <c r="J97" s="70"/>
      <c r="K97" s="77"/>
      <c r="O97" s="76" t="str">
        <f t="shared" si="25"/>
        <v>JC</v>
      </c>
      <c r="P97" s="76">
        <f t="shared" si="26"/>
        <v>2</v>
      </c>
      <c r="Q97" s="76" t="s">
        <v>132</v>
      </c>
      <c r="R97" s="76">
        <f t="shared" si="28"/>
        <v>268.875</v>
      </c>
      <c r="S97" s="76">
        <f t="shared" si="27"/>
        <v>175.04305289484887</v>
      </c>
      <c r="T97" s="76" t="str">
        <f t="shared" si="29"/>
        <v>OK</v>
      </c>
    </row>
    <row r="98" spans="8:20" x14ac:dyDescent="0.25">
      <c r="H98" s="78"/>
      <c r="I98" s="123" t="s">
        <v>120</v>
      </c>
      <c r="J98" s="123"/>
      <c r="K98" s="79"/>
      <c r="O98" s="76">
        <f t="shared" si="25"/>
        <v>0</v>
      </c>
      <c r="P98" s="76">
        <f t="shared" si="26"/>
        <v>2</v>
      </c>
      <c r="Q98" s="76" t="s">
        <v>132</v>
      </c>
      <c r="R98" s="76">
        <f t="shared" si="28"/>
        <v>268.875</v>
      </c>
      <c r="S98" s="76">
        <f t="shared" si="27"/>
        <v>0</v>
      </c>
      <c r="T98" s="76" t="str">
        <f t="shared" si="29"/>
        <v>OK</v>
      </c>
    </row>
    <row r="99" spans="8:20" x14ac:dyDescent="0.25">
      <c r="H99" s="175" t="s">
        <v>121</v>
      </c>
      <c r="I99" s="123"/>
      <c r="J99" s="123"/>
      <c r="K99" s="79">
        <f>0.1*Sheet1!F25</f>
        <v>0.65416666666666679</v>
      </c>
      <c r="O99" s="76">
        <f t="shared" si="25"/>
        <v>0</v>
      </c>
      <c r="P99" s="76">
        <f t="shared" si="26"/>
        <v>0.5</v>
      </c>
      <c r="Q99" s="76" t="s">
        <v>132</v>
      </c>
      <c r="R99" s="76">
        <f t="shared" si="28"/>
        <v>268.875</v>
      </c>
      <c r="S99" s="76">
        <f t="shared" si="27"/>
        <v>0</v>
      </c>
      <c r="T99" s="76" t="str">
        <f t="shared" si="29"/>
        <v>OK</v>
      </c>
    </row>
    <row r="100" spans="8:20" x14ac:dyDescent="0.25">
      <c r="H100" s="78"/>
      <c r="I100" s="65"/>
      <c r="J100" s="65" t="s">
        <v>123</v>
      </c>
      <c r="K100" s="79">
        <f>J64*9.81/1000</f>
        <v>0.58860000000000001</v>
      </c>
      <c r="O100" s="76"/>
      <c r="R100" s="76"/>
      <c r="S100" s="76"/>
      <c r="T100" s="76"/>
    </row>
    <row r="101" spans="8:20" ht="15.75" thickBot="1" x14ac:dyDescent="0.3">
      <c r="H101" s="147" t="str">
        <f>IF(K100&lt;=1.2*K99,"self weight&lt;1.2*assumed","self weight&gt;1.2*assumed")</f>
        <v>self weight&lt;1.2*assumed</v>
      </c>
      <c r="I101" s="166"/>
      <c r="J101" s="166"/>
      <c r="K101" s="89" t="str">
        <f>IF(K100&lt;=1.2*K99,"OK","Not OK")</f>
        <v>OK</v>
      </c>
    </row>
    <row r="103" spans="8:20" x14ac:dyDescent="0.25">
      <c r="I103" s="167"/>
      <c r="J103" s="167"/>
      <c r="K103" s="167"/>
    </row>
  </sheetData>
  <mergeCells count="14">
    <mergeCell ref="H4:O7"/>
    <mergeCell ref="I40:I41"/>
    <mergeCell ref="M40:M41"/>
    <mergeCell ref="I78:Q78"/>
    <mergeCell ref="I85:J85"/>
    <mergeCell ref="H101:J101"/>
    <mergeCell ref="I103:K103"/>
    <mergeCell ref="J58:L58"/>
    <mergeCell ref="J59:L59"/>
    <mergeCell ref="K60:L60"/>
    <mergeCell ref="J90:K90"/>
    <mergeCell ref="J93:K93"/>
    <mergeCell ref="I98:J98"/>
    <mergeCell ref="H99:J9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Huzaifah</dc:creator>
  <cp:lastModifiedBy>Umar</cp:lastModifiedBy>
  <dcterms:created xsi:type="dcterms:W3CDTF">2017-01-31T07:23:56Z</dcterms:created>
  <dcterms:modified xsi:type="dcterms:W3CDTF">2018-03-07T07:44:22Z</dcterms:modified>
</cp:coreProperties>
</file>