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A61E0D7F-E5B0-4D3E-9BC8-7B4102B70728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problem 9.1 USBR" sheetId="1" r:id="rId1"/>
    <sheet name="assignment 9.1" sheetId="3" r:id="rId2"/>
    <sheet name="side channel spillway" sheetId="2" r:id="rId3"/>
    <sheet name="assignment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4" i="2" l="1"/>
  <c r="K33" i="2"/>
  <c r="K32" i="2"/>
  <c r="F32" i="2"/>
  <c r="J31" i="2"/>
  <c r="I32" i="2"/>
  <c r="I31" i="2"/>
  <c r="H31" i="2"/>
  <c r="G31" i="2"/>
  <c r="C35" i="5" l="1"/>
  <c r="C34" i="5"/>
  <c r="C33" i="5"/>
  <c r="C32" i="5"/>
  <c r="G31" i="5"/>
  <c r="H31" i="5" s="1"/>
  <c r="D31" i="5"/>
  <c r="F31" i="5" s="1"/>
  <c r="F32" i="5" s="1"/>
  <c r="H21" i="5"/>
  <c r="H22" i="5" s="1"/>
  <c r="H23" i="5" s="1"/>
  <c r="H25" i="5" s="1"/>
  <c r="F20" i="5"/>
  <c r="F22" i="5" s="1"/>
  <c r="F23" i="5" s="1"/>
  <c r="H14" i="5"/>
  <c r="L11" i="5"/>
  <c r="L16" i="5" s="1"/>
  <c r="L4" i="5"/>
  <c r="I35" i="5" s="1"/>
  <c r="L4" i="2"/>
  <c r="L5" i="2" s="1"/>
  <c r="L11" i="2"/>
  <c r="L16" i="2" s="1"/>
  <c r="C33" i="2"/>
  <c r="C34" i="2"/>
  <c r="C35" i="2"/>
  <c r="C32" i="2"/>
  <c r="L5" i="5" l="1"/>
  <c r="I31" i="5"/>
  <c r="D32" i="5"/>
  <c r="D33" i="5" s="1"/>
  <c r="D34" i="5" s="1"/>
  <c r="D35" i="5" s="1"/>
  <c r="I34" i="5"/>
  <c r="I32" i="5"/>
  <c r="I34" i="2"/>
  <c r="L17" i="5"/>
  <c r="L18" i="5" s="1"/>
  <c r="H26" i="5" s="1"/>
  <c r="J31" i="5"/>
  <c r="G32" i="5"/>
  <c r="H32" i="5" s="1"/>
  <c r="K32" i="5" s="1"/>
  <c r="L32" i="5" s="1"/>
  <c r="M32" i="5" s="1"/>
  <c r="F33" i="5"/>
  <c r="I33" i="5"/>
  <c r="I35" i="2"/>
  <c r="I33" i="2"/>
  <c r="L17" i="2"/>
  <c r="L18" i="2" s="1"/>
  <c r="F34" i="5" l="1"/>
  <c r="G33" i="5"/>
  <c r="H33" i="5" s="1"/>
  <c r="K33" i="5" s="1"/>
  <c r="L33" i="5" s="1"/>
  <c r="M33" i="5" s="1"/>
  <c r="J32" i="5"/>
  <c r="G34" i="5" l="1"/>
  <c r="H34" i="5" s="1"/>
  <c r="F35" i="5"/>
  <c r="G35" i="5" s="1"/>
  <c r="H35" i="5" s="1"/>
  <c r="J33" i="5"/>
  <c r="J35" i="5" l="1"/>
  <c r="K34" i="5"/>
  <c r="L34" i="5" s="1"/>
  <c r="M34" i="5" s="1"/>
  <c r="J34" i="5"/>
  <c r="K35" i="5" s="1"/>
  <c r="L35" i="5" s="1"/>
  <c r="M35" i="5" s="1"/>
  <c r="H31" i="3" l="1"/>
  <c r="H44" i="3" s="1"/>
  <c r="H18" i="3"/>
  <c r="H16" i="3"/>
  <c r="O7" i="3"/>
  <c r="O5" i="3"/>
  <c r="H19" i="3" l="1"/>
  <c r="H20" i="3" s="1"/>
  <c r="H23" i="3" s="1"/>
  <c r="O6" i="3"/>
  <c r="H21" i="3"/>
  <c r="H22" i="3" s="1"/>
  <c r="E60" i="3"/>
  <c r="I60" i="3" s="1"/>
  <c r="E59" i="3"/>
  <c r="I59" i="3" s="1"/>
  <c r="E63" i="3" l="1"/>
  <c r="I63" i="3" s="1"/>
  <c r="E57" i="3"/>
  <c r="I57" i="3" s="1"/>
  <c r="E61" i="3"/>
  <c r="I61" i="3" s="1"/>
  <c r="E58" i="3"/>
  <c r="I58" i="3" s="1"/>
  <c r="E62" i="3"/>
  <c r="I62" i="3" s="1"/>
  <c r="H24" i="3"/>
  <c r="H25" i="3" s="1"/>
  <c r="H33" i="3"/>
  <c r="H27" i="3"/>
  <c r="D31" i="2"/>
  <c r="H21" i="2"/>
  <c r="H22" i="2" s="1"/>
  <c r="H23" i="2" s="1"/>
  <c r="F20" i="2"/>
  <c r="F22" i="2" s="1"/>
  <c r="F23" i="2" s="1"/>
  <c r="H14" i="2"/>
  <c r="D32" i="2" s="1"/>
  <c r="O7" i="1"/>
  <c r="O6" i="1"/>
  <c r="E61" i="1" s="1"/>
  <c r="I61" i="1" s="1"/>
  <c r="O5" i="1"/>
  <c r="H31" i="1"/>
  <c r="H44" i="1" s="1"/>
  <c r="H18" i="1"/>
  <c r="H16" i="1"/>
  <c r="E60" i="1"/>
  <c r="I60" i="1" s="1"/>
  <c r="E57" i="1"/>
  <c r="I57" i="1" s="1"/>
  <c r="E63" i="1" l="1"/>
  <c r="I63" i="1" s="1"/>
  <c r="E59" i="1"/>
  <c r="I59" i="1" s="1"/>
  <c r="E62" i="1"/>
  <c r="I62" i="1" s="1"/>
  <c r="E58" i="1"/>
  <c r="I58" i="1" s="1"/>
  <c r="H46" i="3"/>
  <c r="H48" i="3" s="1"/>
  <c r="H51" i="3" s="1"/>
  <c r="H52" i="3" s="1"/>
  <c r="H36" i="3"/>
  <c r="H37" i="3" s="1"/>
  <c r="H38" i="3" s="1"/>
  <c r="H39" i="3" s="1"/>
  <c r="O4" i="3"/>
  <c r="C62" i="3" s="1"/>
  <c r="S62" i="3" s="1"/>
  <c r="F31" i="2"/>
  <c r="D33" i="2"/>
  <c r="H34" i="3"/>
  <c r="H42" i="3" s="1"/>
  <c r="C61" i="3"/>
  <c r="H25" i="2"/>
  <c r="H19" i="1"/>
  <c r="H21" i="1" s="1"/>
  <c r="H22" i="1" s="1"/>
  <c r="F33" i="2" l="1"/>
  <c r="F34" i="2" s="1"/>
  <c r="F35" i="2" s="1"/>
  <c r="G32" i="2"/>
  <c r="C57" i="3"/>
  <c r="C60" i="3"/>
  <c r="S60" i="3" s="1"/>
  <c r="C59" i="3"/>
  <c r="C58" i="3"/>
  <c r="C63" i="3"/>
  <c r="S63" i="3" s="1"/>
  <c r="G33" i="2"/>
  <c r="H33" i="2" s="1"/>
  <c r="D34" i="2"/>
  <c r="H26" i="2"/>
  <c r="K59" i="3"/>
  <c r="F59" i="3"/>
  <c r="G59" i="3" s="1"/>
  <c r="J59" i="3"/>
  <c r="L59" i="3" s="1"/>
  <c r="K58" i="3"/>
  <c r="F58" i="3"/>
  <c r="G58" i="3" s="1"/>
  <c r="J58" i="3"/>
  <c r="S58" i="3"/>
  <c r="K57" i="3"/>
  <c r="F57" i="3"/>
  <c r="G57" i="3" s="1"/>
  <c r="J57" i="3"/>
  <c r="K60" i="3"/>
  <c r="F60" i="3"/>
  <c r="G60" i="3" s="1"/>
  <c r="J60" i="3"/>
  <c r="K63" i="3"/>
  <c r="F63" i="3"/>
  <c r="G63" i="3" s="1"/>
  <c r="J63" i="3"/>
  <c r="F62" i="3"/>
  <c r="G62" i="3" s="1"/>
  <c r="K62" i="3"/>
  <c r="J62" i="3"/>
  <c r="S59" i="3"/>
  <c r="K61" i="3"/>
  <c r="F61" i="3"/>
  <c r="G61" i="3" s="1"/>
  <c r="J61" i="3"/>
  <c r="S57" i="3"/>
  <c r="S61" i="3"/>
  <c r="H20" i="1"/>
  <c r="H23" i="1" s="1"/>
  <c r="H24" i="1" s="1"/>
  <c r="H25" i="1" s="1"/>
  <c r="L62" i="3" l="1"/>
  <c r="L63" i="3"/>
  <c r="J33" i="2"/>
  <c r="G34" i="2"/>
  <c r="H34" i="2" s="1"/>
  <c r="D35" i="2"/>
  <c r="G35" i="2" s="1"/>
  <c r="H35" i="2" s="1"/>
  <c r="L57" i="3"/>
  <c r="L60" i="3"/>
  <c r="N60" i="3" s="1"/>
  <c r="O60" i="3" s="1"/>
  <c r="M60" i="3"/>
  <c r="P60" i="3" s="1"/>
  <c r="N57" i="3"/>
  <c r="O57" i="3" s="1"/>
  <c r="M57" i="3"/>
  <c r="P57" i="3" s="1"/>
  <c r="L58" i="3"/>
  <c r="N59" i="3"/>
  <c r="O59" i="3" s="1"/>
  <c r="M59" i="3"/>
  <c r="P59" i="3" s="1"/>
  <c r="N63" i="3"/>
  <c r="O63" i="3" s="1"/>
  <c r="M63" i="3"/>
  <c r="P63" i="3" s="1"/>
  <c r="L61" i="3"/>
  <c r="M62" i="3"/>
  <c r="P62" i="3" s="1"/>
  <c r="N62" i="3"/>
  <c r="O62" i="3" s="1"/>
  <c r="H27" i="1"/>
  <c r="H33" i="1"/>
  <c r="O4" i="1"/>
  <c r="H46" i="1"/>
  <c r="H36" i="1"/>
  <c r="Q59" i="3" l="1"/>
  <c r="R59" i="3" s="1"/>
  <c r="Q62" i="3"/>
  <c r="R62" i="3" s="1"/>
  <c r="J35" i="2"/>
  <c r="J34" i="2"/>
  <c r="L34" i="2"/>
  <c r="M34" i="2" s="1"/>
  <c r="Q63" i="3"/>
  <c r="R63" i="3" s="1"/>
  <c r="Q57" i="3"/>
  <c r="R57" i="3" s="1"/>
  <c r="N61" i="3"/>
  <c r="O61" i="3" s="1"/>
  <c r="M61" i="3"/>
  <c r="P61" i="3" s="1"/>
  <c r="M58" i="3"/>
  <c r="P58" i="3" s="1"/>
  <c r="N58" i="3"/>
  <c r="O58" i="3" s="1"/>
  <c r="Q60" i="3"/>
  <c r="R60" i="3" s="1"/>
  <c r="H48" i="1"/>
  <c r="H51" i="1" s="1"/>
  <c r="H52" i="1" s="1"/>
  <c r="H37" i="1"/>
  <c r="H38" i="1" s="1"/>
  <c r="H39" i="1" s="1"/>
  <c r="H34" i="1"/>
  <c r="H42" i="1" s="1"/>
  <c r="C61" i="1"/>
  <c r="C58" i="1"/>
  <c r="C60" i="1"/>
  <c r="C62" i="1"/>
  <c r="C57" i="1"/>
  <c r="C59" i="1"/>
  <c r="C63" i="1"/>
  <c r="K35" i="2" l="1"/>
  <c r="L35" i="2" s="1"/>
  <c r="M35" i="2" s="1"/>
  <c r="Q61" i="3"/>
  <c r="R61" i="3" s="1"/>
  <c r="Q58" i="3"/>
  <c r="R58" i="3" s="1"/>
  <c r="S61" i="1"/>
  <c r="S60" i="1"/>
  <c r="S58" i="1"/>
  <c r="S63" i="1"/>
  <c r="S57" i="1"/>
  <c r="S62" i="1"/>
  <c r="S59" i="1"/>
  <c r="F59" i="1"/>
  <c r="G59" i="1" s="1"/>
  <c r="J59" i="1"/>
  <c r="K59" i="1"/>
  <c r="K58" i="1"/>
  <c r="J58" i="1"/>
  <c r="F58" i="1"/>
  <c r="G58" i="1" s="1"/>
  <c r="K57" i="1"/>
  <c r="J57" i="1"/>
  <c r="F57" i="1"/>
  <c r="G57" i="1" s="1"/>
  <c r="F61" i="1"/>
  <c r="G61" i="1" s="1"/>
  <c r="J61" i="1"/>
  <c r="K61" i="1"/>
  <c r="K62" i="1"/>
  <c r="F62" i="1"/>
  <c r="G62" i="1" s="1"/>
  <c r="J62" i="1"/>
  <c r="J63" i="1"/>
  <c r="F63" i="1"/>
  <c r="G63" i="1" s="1"/>
  <c r="K63" i="1"/>
  <c r="F60" i="1"/>
  <c r="G60" i="1" s="1"/>
  <c r="J60" i="1"/>
  <c r="K60" i="1"/>
  <c r="L62" i="1" l="1"/>
  <c r="L59" i="1"/>
  <c r="L60" i="1"/>
  <c r="N60" i="1" s="1"/>
  <c r="O60" i="1" s="1"/>
  <c r="L57" i="1"/>
  <c r="N57" i="1" s="1"/>
  <c r="O57" i="1" s="1"/>
  <c r="M62" i="1"/>
  <c r="P62" i="1" s="1"/>
  <c r="N62" i="1"/>
  <c r="O62" i="1" s="1"/>
  <c r="L61" i="1"/>
  <c r="M59" i="1"/>
  <c r="P59" i="1" s="1"/>
  <c r="N59" i="1"/>
  <c r="O59" i="1" s="1"/>
  <c r="Q59" i="1" s="1"/>
  <c r="R59" i="1" s="1"/>
  <c r="L63" i="1"/>
  <c r="L58" i="1"/>
  <c r="M57" i="1" l="1"/>
  <c r="P57" i="1" s="1"/>
  <c r="M60" i="1"/>
  <c r="P60" i="1" s="1"/>
  <c r="Q60" i="1" s="1"/>
  <c r="R60" i="1" s="1"/>
  <c r="Q62" i="1"/>
  <c r="R62" i="1" s="1"/>
  <c r="N63" i="1"/>
  <c r="O63" i="1" s="1"/>
  <c r="M63" i="1"/>
  <c r="P63" i="1" s="1"/>
  <c r="M58" i="1"/>
  <c r="P58" i="1" s="1"/>
  <c r="N58" i="1"/>
  <c r="O58" i="1" s="1"/>
  <c r="M61" i="1"/>
  <c r="P61" i="1" s="1"/>
  <c r="N61" i="1"/>
  <c r="O61" i="1" s="1"/>
  <c r="Q61" i="1" s="1"/>
  <c r="R61" i="1" s="1"/>
  <c r="Q57" i="1"/>
  <c r="R57" i="1" s="1"/>
  <c r="Q58" i="1" l="1"/>
  <c r="R58" i="1" s="1"/>
  <c r="Q63" i="1"/>
  <c r="R63" i="1" s="1"/>
  <c r="H32" i="2" l="1"/>
  <c r="J32" i="2" l="1"/>
  <c r="L32" i="2"/>
  <c r="M32" i="2" s="1"/>
  <c r="L33" i="2" l="1"/>
  <c r="M33" i="2" s="1"/>
</calcChain>
</file>

<file path=xl/sharedStrings.xml><?xml version="1.0" encoding="utf-8"?>
<sst xmlns="http://schemas.openxmlformats.org/spreadsheetml/2006/main" count="420" uniqueCount="149">
  <si>
    <t>Average length of crest=</t>
  </si>
  <si>
    <t>ft</t>
  </si>
  <si>
    <t>P=</t>
  </si>
  <si>
    <t>Sr. no.</t>
  </si>
  <si>
    <t>He/Ho</t>
  </si>
  <si>
    <t>He</t>
  </si>
  <si>
    <t>C/Co</t>
  </si>
  <si>
    <t>hd+d</t>
  </si>
  <si>
    <t>hd+d/He</t>
  </si>
  <si>
    <t>Cs/C</t>
  </si>
  <si>
    <t>Cs</t>
  </si>
  <si>
    <t>He+P</t>
  </si>
  <si>
    <t>Va</t>
  </si>
  <si>
    <t>ha</t>
  </si>
  <si>
    <t>s</t>
  </si>
  <si>
    <t>Entrance loss</t>
  </si>
  <si>
    <t>0.1ha</t>
  </si>
  <si>
    <t>Total approach losses</t>
  </si>
  <si>
    <t>ft/s</t>
  </si>
  <si>
    <t>Gross head</t>
  </si>
  <si>
    <t>Total discharge</t>
  </si>
  <si>
    <t>Q=CsLHe^(3/2)</t>
  </si>
  <si>
    <t>Fig 9.24</t>
  </si>
  <si>
    <t>Ratio of coefficients</t>
  </si>
  <si>
    <t>Ci for Ho=</t>
  </si>
  <si>
    <t>He+P=</t>
  </si>
  <si>
    <t>C</t>
  </si>
  <si>
    <t>q=CsHe^3/2</t>
  </si>
  <si>
    <t>g=</t>
  </si>
  <si>
    <t>ft/s2</t>
  </si>
  <si>
    <t>n=</t>
  </si>
  <si>
    <t>Depth of Approach</t>
  </si>
  <si>
    <t>Approach channel loss</t>
  </si>
  <si>
    <t>hf=SL</t>
  </si>
  <si>
    <t>Channel length=L=</t>
  </si>
  <si>
    <t>Given Data</t>
  </si>
  <si>
    <t>Design of an uncontrolled overflow ogee crest for chute spillway</t>
  </si>
  <si>
    <t>ft3/s</t>
  </si>
  <si>
    <t>Effective head=He=</t>
  </si>
  <si>
    <t>Slope of u/s face crest=</t>
  </si>
  <si>
    <t>1:1</t>
  </si>
  <si>
    <t>Width of bridge piers=</t>
  </si>
  <si>
    <t>in</t>
  </si>
  <si>
    <t>Shape of bridge piers=</t>
  </si>
  <si>
    <t>round noses</t>
  </si>
  <si>
    <t>Max. span of bridge piers=</t>
  </si>
  <si>
    <t>Radius of abutment walls=</t>
  </si>
  <si>
    <t>Angle of approach walls=</t>
  </si>
  <si>
    <t>degree</t>
  </si>
  <si>
    <t>Discharge=Q=</t>
  </si>
  <si>
    <t>below crest level</t>
  </si>
  <si>
    <t>Depth of approach=He+P=</t>
  </si>
  <si>
    <t>Assumed position of approach and d/s apron levels w.r.t. crest level=P=</t>
  </si>
  <si>
    <t>Assumed value of C=</t>
  </si>
  <si>
    <t>Discharge per unit of crest length=q=CHe^(3/2)</t>
  </si>
  <si>
    <t>ft2/s</t>
  </si>
  <si>
    <t>Approach velocity=Va=q/He+P</t>
  </si>
  <si>
    <t>Velocity head=ha=Va^2/2g</t>
  </si>
  <si>
    <t>Friction slope=</t>
  </si>
  <si>
    <t>Approach channel friction loss=</t>
  </si>
  <si>
    <t>Length of entrance channel=L=</t>
  </si>
  <si>
    <t>Assuming entrance loss into approach channel=0.1ha=</t>
  </si>
  <si>
    <t>Total head loss in approach=</t>
  </si>
  <si>
    <t>From figure 9.23</t>
  </si>
  <si>
    <t>Co=</t>
  </si>
  <si>
    <t>From figure 9.25</t>
  </si>
  <si>
    <t>Ci=</t>
  </si>
  <si>
    <t>Frm figure 9.26</t>
  </si>
  <si>
    <t>hd+d=He+P=</t>
  </si>
  <si>
    <t>Degree of submergence=hd/He=</t>
  </si>
  <si>
    <t>If super critical flow prevails, hd=0.91He=</t>
  </si>
  <si>
    <t>Gross head=H0=</t>
  </si>
  <si>
    <t>P/He=</t>
  </si>
  <si>
    <t>Ci/Co=</t>
  </si>
  <si>
    <t>d=He+P-hd=</t>
  </si>
  <si>
    <t>Velocity head=hv=V^2/2g</t>
  </si>
  <si>
    <t>Downstream velocity,V=q/d=</t>
  </si>
  <si>
    <t>As hd=hv, it verifies the flow is supercritical</t>
  </si>
  <si>
    <t>From figure 9.27</t>
  </si>
  <si>
    <t>hd+d/He=</t>
  </si>
  <si>
    <t>Cs/Co=</t>
  </si>
  <si>
    <t>Cs=</t>
  </si>
  <si>
    <t>Determination of required crest length</t>
  </si>
  <si>
    <t>L=Q/Csho^(3/2)=</t>
  </si>
  <si>
    <t>Corrections for pier effects</t>
  </si>
  <si>
    <t>No. of piers for crest length=</t>
  </si>
  <si>
    <t>Kp, pier contraction coefficient for round nose piers=</t>
  </si>
  <si>
    <t>Ka, abutment contraction coefficient=</t>
  </si>
  <si>
    <t>Net crest length=L'=</t>
  </si>
  <si>
    <t>He=</t>
  </si>
  <si>
    <t>Calculations</t>
  </si>
  <si>
    <t>Table for computation of rating curve</t>
  </si>
  <si>
    <t>Fig 9.27</t>
  </si>
  <si>
    <t>Given data</t>
  </si>
  <si>
    <t>Max. Discharge=</t>
  </si>
  <si>
    <t>Elevation of spillway crest=</t>
  </si>
  <si>
    <t>Assumed crest coefficient=C=</t>
  </si>
  <si>
    <t>Side channel spillway</t>
  </si>
  <si>
    <t>Side channel trough</t>
  </si>
  <si>
    <t>Assumed geometry=</t>
  </si>
  <si>
    <t>Trapezoidal</t>
  </si>
  <si>
    <t>Side slopes</t>
  </si>
  <si>
    <t>H</t>
  </si>
  <si>
    <t>V</t>
  </si>
  <si>
    <t>Bottom width=b=</t>
  </si>
  <si>
    <t>Longitudinal Slope=S=</t>
  </si>
  <si>
    <t>Control section</t>
  </si>
  <si>
    <t>Placed d/s from side channel trough</t>
  </si>
  <si>
    <t>Bottom at same elevation as bottom of side channel</t>
  </si>
  <si>
    <t>Transition is from 0.5:1 slope of trought section to a rectangular section at the control</t>
  </si>
  <si>
    <t>Datum for the control section botton at elevation=</t>
  </si>
  <si>
    <t>length of side channel spillway=L=</t>
  </si>
  <si>
    <t>Ho=(q/C)^(2/3)=</t>
  </si>
  <si>
    <t>q=Q/L=</t>
  </si>
  <si>
    <t>Critical depth=dc=(q1^2/g)^(1/3)</t>
  </si>
  <si>
    <t>q1=Q/L=</t>
  </si>
  <si>
    <t>Vc=q1/dc=</t>
  </si>
  <si>
    <t>hvc=Vc^2/2g=</t>
  </si>
  <si>
    <t>Area of trapezoidal cross section=</t>
  </si>
  <si>
    <t>Assumed depth of flow at R.D.=</t>
  </si>
  <si>
    <t>ft2</t>
  </si>
  <si>
    <t>Velocity at R.D.=</t>
  </si>
  <si>
    <t>Velocity head at R.D.=</t>
  </si>
  <si>
    <t>By using bernoulli's equation</t>
  </si>
  <si>
    <t>L.H.S=</t>
  </si>
  <si>
    <t>R.H.S=</t>
  </si>
  <si>
    <t>d(1:00)+hv(1:00)=</t>
  </si>
  <si>
    <t>dc+hvc+0.2(hvc-hv(1:00))=</t>
  </si>
  <si>
    <t>cusecs</t>
  </si>
  <si>
    <t>Side channel spillway computations</t>
  </si>
  <si>
    <t>Station</t>
  </si>
  <si>
    <t>1+00</t>
  </si>
  <si>
    <t>0+75</t>
  </si>
  <si>
    <t>0+50</t>
  </si>
  <si>
    <t>0+25</t>
  </si>
  <si>
    <t>Δx</t>
  </si>
  <si>
    <t>Elevation bottom</t>
  </si>
  <si>
    <t>Trial Δy</t>
  </si>
  <si>
    <t>Water surface elevation</t>
  </si>
  <si>
    <t>d</t>
  </si>
  <si>
    <t>A</t>
  </si>
  <si>
    <t>Remarks</t>
  </si>
  <si>
    <t>0+10</t>
  </si>
  <si>
    <t>If hd=hv, it verifies the flow is supercritical</t>
  </si>
  <si>
    <t>Difference</t>
  </si>
  <si>
    <t>Length</t>
  </si>
  <si>
    <t>Q</t>
  </si>
  <si>
    <t>Δy (by formula)</t>
  </si>
  <si>
    <t>Design of side channel spillway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</si>
</sst>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"/>
    <numFmt numFmtId="167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222222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2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7" fontId="3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2" fontId="3" fillId="4" borderId="1" xfId="0" applyNumberFormat="1" applyFont="1" applyFill="1" applyBorder="1"/>
    <xf numFmtId="166" fontId="3" fillId="2" borderId="1" xfId="0" applyNumberFormat="1" applyFont="1" applyFill="1" applyBorder="1"/>
    <xf numFmtId="2" fontId="3" fillId="0" borderId="1" xfId="0" applyNumberFormat="1" applyFont="1" applyFill="1" applyBorder="1"/>
    <xf numFmtId="0" fontId="3" fillId="5" borderId="1" xfId="0" applyFont="1" applyFill="1" applyBorder="1"/>
    <xf numFmtId="2" fontId="3" fillId="2" borderId="1" xfId="0" applyNumberFormat="1" applyFont="1" applyFill="1" applyBorder="1"/>
    <xf numFmtId="0" fontId="3" fillId="0" borderId="2" xfId="0" applyFont="1" applyBorder="1"/>
    <xf numFmtId="2" fontId="3" fillId="0" borderId="2" xfId="0" applyNumberFormat="1" applyFont="1" applyBorder="1"/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/>
    <xf numFmtId="0" fontId="5" fillId="2" borderId="0" xfId="0" applyFont="1" applyFill="1" applyAlignment="1"/>
    <xf numFmtId="0" fontId="0" fillId="0" borderId="19" xfId="0" applyBorder="1"/>
    <xf numFmtId="0" fontId="0" fillId="0" borderId="20" xfId="0" applyBorder="1"/>
    <xf numFmtId="167" fontId="0" fillId="0" borderId="0" xfId="0" applyNumberFormat="1" applyBorder="1"/>
    <xf numFmtId="2" fontId="0" fillId="0" borderId="0" xfId="0" applyNumberFormat="1" applyBorder="1"/>
    <xf numFmtId="0" fontId="0" fillId="2" borderId="1" xfId="0" applyFill="1" applyBorder="1"/>
    <xf numFmtId="1" fontId="0" fillId="0" borderId="1" xfId="0" applyNumberFormat="1" applyBorder="1"/>
    <xf numFmtId="2" fontId="0" fillId="0" borderId="1" xfId="0" applyNumberFormat="1" applyBorder="1"/>
    <xf numFmtId="2" fontId="0" fillId="3" borderId="1" xfId="0" applyNumberFormat="1" applyFill="1" applyBorder="1"/>
    <xf numFmtId="0" fontId="0" fillId="0" borderId="6" xfId="0" applyBorder="1"/>
    <xf numFmtId="0" fontId="4" fillId="2" borderId="0" xfId="0" applyFont="1" applyFill="1" applyAlignment="1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2" fontId="8" fillId="0" borderId="0" xfId="0" applyNumberFormat="1" applyFont="1"/>
    <xf numFmtId="49" fontId="8" fillId="0" borderId="1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7" fontId="8" fillId="0" borderId="1" xfId="0" applyNumberFormat="1" applyFont="1" applyFill="1" applyBorder="1" applyAlignment="1">
      <alignment horizontal="left"/>
    </xf>
    <xf numFmtId="165" fontId="8" fillId="0" borderId="1" xfId="0" applyNumberFormat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166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/>
    <xf numFmtId="0" fontId="8" fillId="3" borderId="1" xfId="0" applyFont="1" applyFill="1" applyBorder="1"/>
    <xf numFmtId="0" fontId="8" fillId="2" borderId="1" xfId="0" applyFont="1" applyFill="1" applyBorder="1"/>
    <xf numFmtId="0" fontId="8" fillId="0" borderId="1" xfId="0" applyFont="1" applyFill="1" applyBorder="1"/>
    <xf numFmtId="0" fontId="8" fillId="0" borderId="0" xfId="0" applyFont="1" applyFill="1"/>
    <xf numFmtId="2" fontId="8" fillId="4" borderId="1" xfId="0" applyNumberFormat="1" applyFont="1" applyFill="1" applyBorder="1"/>
    <xf numFmtId="166" fontId="8" fillId="2" borderId="1" xfId="0" applyNumberFormat="1" applyFont="1" applyFill="1" applyBorder="1"/>
    <xf numFmtId="2" fontId="8" fillId="0" borderId="1" xfId="0" applyNumberFormat="1" applyFont="1" applyFill="1" applyBorder="1"/>
    <xf numFmtId="0" fontId="8" fillId="5" borderId="1" xfId="0" applyFont="1" applyFill="1" applyBorder="1"/>
    <xf numFmtId="2" fontId="8" fillId="2" borderId="1" xfId="0" applyNumberFormat="1" applyFont="1" applyFill="1" applyBorder="1"/>
    <xf numFmtId="0" fontId="8" fillId="0" borderId="2" xfId="0" applyFont="1" applyBorder="1"/>
    <xf numFmtId="2" fontId="8" fillId="0" borderId="2" xfId="0" applyNumberFormat="1" applyFont="1" applyBorder="1"/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167" fontId="8" fillId="0" borderId="9" xfId="0" applyNumberFormat="1" applyFont="1" applyBorder="1" applyAlignment="1">
      <alignment horizontal="center"/>
    </xf>
    <xf numFmtId="166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Rating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'problem 9.1 USBR'!$S$57:$S$63</c:f>
              <c:numCache>
                <c:formatCode>0</c:formatCode>
                <c:ptCount val="7"/>
                <c:pt idx="0">
                  <c:v>53.79173110711713</c:v>
                </c:pt>
                <c:pt idx="1">
                  <c:v>157.71230810714633</c:v>
                </c:pt>
                <c:pt idx="2">
                  <c:v>472.31763898932115</c:v>
                </c:pt>
                <c:pt idx="3">
                  <c:v>906.26748276459625</c:v>
                </c:pt>
                <c:pt idx="4">
                  <c:v>1413.9038302529989</c:v>
                </c:pt>
                <c:pt idx="5">
                  <c:v>2003.912687024866</c:v>
                </c:pt>
                <c:pt idx="6">
                  <c:v>2668.2982261920301</c:v>
                </c:pt>
              </c:numCache>
            </c:numRef>
          </c:xVal>
          <c:yVal>
            <c:numRef>
              <c:f>'problem 9.1 USBR'!$C$57:$C$63</c:f>
              <c:numCache>
                <c:formatCode>0.00</c:formatCode>
                <c:ptCount val="7"/>
                <c:pt idx="0">
                  <c:v>0.48859784139482648</c:v>
                </c:pt>
                <c:pt idx="1">
                  <c:v>0.97719568278965296</c:v>
                </c:pt>
                <c:pt idx="2">
                  <c:v>1.9543913655793059</c:v>
                </c:pt>
                <c:pt idx="3">
                  <c:v>2.9315870483689586</c:v>
                </c:pt>
                <c:pt idx="4">
                  <c:v>3.9087827311586119</c:v>
                </c:pt>
                <c:pt idx="5">
                  <c:v>4.8859784139482647</c:v>
                </c:pt>
                <c:pt idx="6">
                  <c:v>5.8631740967379171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24-4FDB-83C9-DD14B0A12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321936"/>
        <c:axId val="727429216"/>
      </c:scatterChart>
      <c:valAx>
        <c:axId val="60032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 (cusecs)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429216"/>
        <c:crosses val="autoZero"/>
        <c:crossBetween val="midCat"/>
      </c:valAx>
      <c:valAx>
        <c:axId val="72742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321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Rating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'problem 9.1 USBR'!$S$57:$S$63</c:f>
              <c:numCache>
                <c:formatCode>0</c:formatCode>
                <c:ptCount val="7"/>
                <c:pt idx="0">
                  <c:v>53.79173110711713</c:v>
                </c:pt>
                <c:pt idx="1">
                  <c:v>157.71230810714633</c:v>
                </c:pt>
                <c:pt idx="2">
                  <c:v>472.31763898932115</c:v>
                </c:pt>
                <c:pt idx="3">
                  <c:v>906.26748276459625</c:v>
                </c:pt>
                <c:pt idx="4">
                  <c:v>1413.9038302529989</c:v>
                </c:pt>
                <c:pt idx="5">
                  <c:v>2003.912687024866</c:v>
                </c:pt>
                <c:pt idx="6">
                  <c:v>2668.2982261920301</c:v>
                </c:pt>
              </c:numCache>
            </c:numRef>
          </c:xVal>
          <c:yVal>
            <c:numRef>
              <c:f>'problem 9.1 USBR'!$C$57:$C$63</c:f>
              <c:numCache>
                <c:formatCode>0.00</c:formatCode>
                <c:ptCount val="7"/>
                <c:pt idx="0">
                  <c:v>0.48859784139482648</c:v>
                </c:pt>
                <c:pt idx="1">
                  <c:v>0.97719568278965296</c:v>
                </c:pt>
                <c:pt idx="2">
                  <c:v>1.9543913655793059</c:v>
                </c:pt>
                <c:pt idx="3">
                  <c:v>2.9315870483689586</c:v>
                </c:pt>
                <c:pt idx="4">
                  <c:v>3.9087827311586119</c:v>
                </c:pt>
                <c:pt idx="5">
                  <c:v>4.8859784139482647</c:v>
                </c:pt>
                <c:pt idx="6">
                  <c:v>5.8631740967379171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67-4625-978C-2065F6233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321936"/>
        <c:axId val="727429216"/>
      </c:scatterChart>
      <c:valAx>
        <c:axId val="60032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 (cusecs)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429216"/>
        <c:crosses val="autoZero"/>
        <c:crossBetween val="midCat"/>
      </c:valAx>
      <c:valAx>
        <c:axId val="72742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 (ft)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321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466724</xdr:colOff>
      <xdr:row>63</xdr:row>
      <xdr:rowOff>90486</xdr:rowOff>
    </xdr:from>
    <xdr:to>
      <xdr:col>12</xdr:col>
      <xdr:colOff>114300</xdr:colOff>
      <xdr:row>84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6F3CD-6B14-4F20-8BBB-BA50E92D6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69</xdr:row>
      <xdr:rowOff>119061</xdr:rowOff>
    </xdr:from>
    <xdr:to>
      <xdr:col>13</xdr:col>
      <xdr:colOff>409575</xdr:colOff>
      <xdr:row>90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EE62B3-9AC9-4D81-B42C-B3060BF4F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5"/>
  <sheetViews>
    <sheetView topLeftCell="A64" workbookViewId="0">
      <selection sqref="A1:S85"/>
    </sheetView>
  </sheetViews>
  <sheetFormatPr defaultRowHeight="15" x14ac:dyDescent="0.25"/>
  <cols>
    <col min="1" max="3" width="9.140625" style="2"/>
    <col min="4" max="4" width="11.5703125" style="2" customWidth="1"/>
    <col min="5" max="7" width="9.140625" style="2"/>
    <col min="8" max="8" width="12.140625" style="2" customWidth="1"/>
    <col min="9" max="9" width="9.140625" style="2"/>
    <col min="10" max="10" width="13.85546875" style="2" customWidth="1"/>
    <col min="11" max="13" width="9.140625" style="2"/>
    <col min="14" max="14" width="12.28515625" style="2" bestFit="1" customWidth="1"/>
    <col min="15" max="15" width="12.28515625" style="2" customWidth="1"/>
    <col min="16" max="16" width="9.140625" style="2" customWidth="1"/>
    <col min="17" max="18" width="9.140625" style="2"/>
    <col min="19" max="19" width="18.140625" style="2" customWidth="1"/>
    <col min="20" max="16384" width="9.140625" style="2"/>
  </cols>
  <sheetData>
    <row r="1" spans="1:21" ht="18.75" x14ac:dyDescent="0.3">
      <c r="A1" s="150" t="s">
        <v>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95"/>
      <c r="U1" s="95"/>
    </row>
    <row r="2" spans="1:21" ht="15.75" x14ac:dyDescent="0.25">
      <c r="A2" s="145" t="s">
        <v>35</v>
      </c>
      <c r="B2" s="145"/>
      <c r="C2" s="145"/>
      <c r="D2" s="145"/>
      <c r="E2" s="145"/>
      <c r="F2" s="145"/>
      <c r="G2" s="145"/>
      <c r="H2" s="145"/>
      <c r="I2" s="145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1" ht="15.75" x14ac:dyDescent="0.25">
      <c r="A3" s="97" t="s">
        <v>49</v>
      </c>
      <c r="B3" s="97"/>
      <c r="C3" s="97"/>
      <c r="D3" s="97"/>
      <c r="E3" s="97"/>
      <c r="F3" s="97"/>
      <c r="G3" s="97"/>
      <c r="H3" s="98">
        <v>2000</v>
      </c>
      <c r="I3" s="98" t="s">
        <v>37</v>
      </c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21" ht="15.75" x14ac:dyDescent="0.25">
      <c r="A4" s="97" t="s">
        <v>71</v>
      </c>
      <c r="B4" s="97"/>
      <c r="C4" s="97"/>
      <c r="D4" s="97"/>
      <c r="E4" s="97"/>
      <c r="F4" s="97"/>
      <c r="G4" s="97"/>
      <c r="H4" s="98">
        <v>5</v>
      </c>
      <c r="I4" s="98" t="s">
        <v>1</v>
      </c>
      <c r="J4" s="96"/>
      <c r="K4" s="96" t="s">
        <v>89</v>
      </c>
      <c r="L4" s="96"/>
      <c r="M4" s="96"/>
      <c r="N4" s="96"/>
      <c r="O4" s="99">
        <f>H25</f>
        <v>4.8859784139482647</v>
      </c>
      <c r="P4" s="96" t="s">
        <v>1</v>
      </c>
      <c r="Q4" s="96"/>
      <c r="R4" s="96"/>
      <c r="S4" s="96"/>
    </row>
    <row r="5" spans="1:21" ht="15.75" x14ac:dyDescent="0.25">
      <c r="A5" s="97" t="s">
        <v>39</v>
      </c>
      <c r="B5" s="97"/>
      <c r="C5" s="97"/>
      <c r="D5" s="97"/>
      <c r="E5" s="97"/>
      <c r="F5" s="97"/>
      <c r="G5" s="97"/>
      <c r="H5" s="100" t="s">
        <v>40</v>
      </c>
      <c r="I5" s="98"/>
      <c r="J5" s="96"/>
      <c r="K5" s="96" t="s">
        <v>2</v>
      </c>
      <c r="L5" s="96"/>
      <c r="M5" s="96"/>
      <c r="N5" s="96"/>
      <c r="O5" s="96">
        <f>H12</f>
        <v>2</v>
      </c>
      <c r="P5" s="96" t="s">
        <v>1</v>
      </c>
      <c r="Q5" s="96"/>
      <c r="R5" s="96"/>
      <c r="S5" s="96"/>
    </row>
    <row r="6" spans="1:21" ht="15.75" x14ac:dyDescent="0.25">
      <c r="A6" s="97" t="s">
        <v>60</v>
      </c>
      <c r="B6" s="97"/>
      <c r="C6" s="97"/>
      <c r="D6" s="97"/>
      <c r="E6" s="97"/>
      <c r="F6" s="97"/>
      <c r="G6" s="97"/>
      <c r="H6" s="98">
        <v>100</v>
      </c>
      <c r="I6" s="98" t="s">
        <v>1</v>
      </c>
      <c r="J6" s="96"/>
      <c r="K6" s="96" t="s">
        <v>24</v>
      </c>
      <c r="L6" s="96"/>
      <c r="M6" s="96"/>
      <c r="N6" s="96"/>
      <c r="O6" s="99">
        <f>H31</f>
        <v>3.83786</v>
      </c>
      <c r="P6" s="96"/>
      <c r="Q6" s="96"/>
      <c r="R6" s="96"/>
      <c r="S6" s="96"/>
    </row>
    <row r="7" spans="1:21" ht="15.75" x14ac:dyDescent="0.25">
      <c r="A7" s="97" t="s">
        <v>41</v>
      </c>
      <c r="B7" s="97"/>
      <c r="C7" s="97"/>
      <c r="D7" s="97"/>
      <c r="E7" s="97"/>
      <c r="F7" s="97"/>
      <c r="G7" s="97"/>
      <c r="H7" s="98">
        <v>18</v>
      </c>
      <c r="I7" s="98" t="s">
        <v>42</v>
      </c>
      <c r="J7" s="96"/>
      <c r="K7" s="96" t="s">
        <v>34</v>
      </c>
      <c r="L7" s="96"/>
      <c r="M7" s="96"/>
      <c r="N7" s="96"/>
      <c r="O7" s="96">
        <f>H6</f>
        <v>100</v>
      </c>
      <c r="P7" s="96" t="s">
        <v>1</v>
      </c>
      <c r="Q7" s="96"/>
      <c r="R7" s="96"/>
      <c r="S7" s="96"/>
    </row>
    <row r="8" spans="1:21" ht="15.75" x14ac:dyDescent="0.25">
      <c r="A8" s="97" t="s">
        <v>43</v>
      </c>
      <c r="B8" s="97"/>
      <c r="C8" s="97"/>
      <c r="D8" s="97"/>
      <c r="E8" s="97"/>
      <c r="F8" s="97"/>
      <c r="G8" s="97"/>
      <c r="H8" s="98" t="s">
        <v>44</v>
      </c>
      <c r="I8" s="98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21" ht="15.75" x14ac:dyDescent="0.25">
      <c r="A9" s="97" t="s">
        <v>45</v>
      </c>
      <c r="B9" s="97"/>
      <c r="C9" s="97"/>
      <c r="D9" s="97"/>
      <c r="E9" s="97"/>
      <c r="F9" s="97"/>
      <c r="G9" s="97"/>
      <c r="H9" s="98">
        <v>20</v>
      </c>
      <c r="I9" s="98" t="s">
        <v>1</v>
      </c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21" ht="15.75" x14ac:dyDescent="0.25">
      <c r="A10" s="97" t="s">
        <v>46</v>
      </c>
      <c r="B10" s="97"/>
      <c r="C10" s="97"/>
      <c r="D10" s="97"/>
      <c r="E10" s="97"/>
      <c r="F10" s="97"/>
      <c r="G10" s="97"/>
      <c r="H10" s="98">
        <v>5</v>
      </c>
      <c r="I10" s="98" t="s">
        <v>1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21" ht="15.75" x14ac:dyDescent="0.25">
      <c r="A11" s="97" t="s">
        <v>47</v>
      </c>
      <c r="B11" s="97"/>
      <c r="C11" s="97"/>
      <c r="D11" s="97"/>
      <c r="E11" s="97"/>
      <c r="F11" s="97"/>
      <c r="G11" s="97"/>
      <c r="H11" s="98">
        <v>30</v>
      </c>
      <c r="I11" s="98" t="s">
        <v>48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21" ht="15.75" x14ac:dyDescent="0.25">
      <c r="A12" s="97" t="s">
        <v>52</v>
      </c>
      <c r="B12" s="97"/>
      <c r="C12" s="97"/>
      <c r="D12" s="97"/>
      <c r="E12" s="97"/>
      <c r="F12" s="97"/>
      <c r="G12" s="97"/>
      <c r="H12" s="101">
        <v>2</v>
      </c>
      <c r="I12" s="98" t="s">
        <v>1</v>
      </c>
      <c r="J12" s="96" t="s">
        <v>50</v>
      </c>
      <c r="K12" s="96"/>
      <c r="L12" s="96"/>
      <c r="M12" s="96"/>
      <c r="N12" s="96"/>
      <c r="O12" s="96"/>
      <c r="P12" s="96"/>
      <c r="Q12" s="96"/>
      <c r="R12" s="96"/>
      <c r="S12" s="96"/>
    </row>
    <row r="13" spans="1:21" ht="15.75" x14ac:dyDescent="0.25">
      <c r="A13" s="97" t="s">
        <v>28</v>
      </c>
      <c r="B13" s="97"/>
      <c r="C13" s="97"/>
      <c r="D13" s="97"/>
      <c r="E13" s="97"/>
      <c r="F13" s="97"/>
      <c r="G13" s="97"/>
      <c r="H13" s="101">
        <v>32.200000000000003</v>
      </c>
      <c r="I13" s="98" t="s">
        <v>29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21" ht="15.75" x14ac:dyDescent="0.25">
      <c r="A14" s="97" t="s">
        <v>30</v>
      </c>
      <c r="B14" s="97"/>
      <c r="C14" s="97"/>
      <c r="D14" s="97"/>
      <c r="E14" s="97"/>
      <c r="F14" s="97"/>
      <c r="G14" s="97"/>
      <c r="H14" s="101">
        <v>2.2499999999999999E-2</v>
      </c>
      <c r="I14" s="98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21" ht="15.75" x14ac:dyDescent="0.25">
      <c r="A15" s="146" t="s">
        <v>90</v>
      </c>
      <c r="B15" s="146"/>
      <c r="C15" s="146"/>
      <c r="D15" s="146"/>
      <c r="E15" s="146"/>
      <c r="F15" s="146"/>
      <c r="G15" s="146"/>
      <c r="H15" s="146"/>
      <c r="I15" s="14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21" ht="15.75" x14ac:dyDescent="0.25">
      <c r="A16" s="97" t="s">
        <v>51</v>
      </c>
      <c r="B16" s="97"/>
      <c r="C16" s="97"/>
      <c r="D16" s="97"/>
      <c r="E16" s="97"/>
      <c r="F16" s="97"/>
      <c r="G16" s="97"/>
      <c r="H16" s="98">
        <f>H4+H12</f>
        <v>7</v>
      </c>
      <c r="I16" s="98" t="s">
        <v>1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 ht="15.75" x14ac:dyDescent="0.25">
      <c r="A17" s="97" t="s">
        <v>53</v>
      </c>
      <c r="B17" s="97"/>
      <c r="C17" s="97"/>
      <c r="D17" s="97"/>
      <c r="E17" s="97"/>
      <c r="F17" s="97"/>
      <c r="G17" s="97"/>
      <c r="H17" s="101">
        <v>3.7</v>
      </c>
      <c r="I17" s="98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 ht="15.75" x14ac:dyDescent="0.25">
      <c r="A18" s="97" t="s">
        <v>54</v>
      </c>
      <c r="B18" s="97"/>
      <c r="C18" s="97"/>
      <c r="D18" s="97"/>
      <c r="E18" s="97"/>
      <c r="F18" s="97"/>
      <c r="G18" s="97"/>
      <c r="H18" s="102">
        <f>H17*H4^1.5</f>
        <v>41.367257583746103</v>
      </c>
      <c r="I18" s="98" t="s">
        <v>55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 ht="15.75" x14ac:dyDescent="0.25">
      <c r="A19" s="97" t="s">
        <v>56</v>
      </c>
      <c r="B19" s="97"/>
      <c r="C19" s="97"/>
      <c r="D19" s="97"/>
      <c r="E19" s="97"/>
      <c r="F19" s="97"/>
      <c r="G19" s="97"/>
      <c r="H19" s="102">
        <f>H18/H16</f>
        <v>5.9096082262494436</v>
      </c>
      <c r="I19" s="98" t="s">
        <v>18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1:19" ht="15.75" x14ac:dyDescent="0.25">
      <c r="A20" s="97" t="s">
        <v>57</v>
      </c>
      <c r="B20" s="97"/>
      <c r="C20" s="97"/>
      <c r="D20" s="97"/>
      <c r="E20" s="97"/>
      <c r="F20" s="97"/>
      <c r="G20" s="97"/>
      <c r="H20" s="102">
        <f>H19^2/(2*H13)</f>
        <v>0.54228989732538968</v>
      </c>
      <c r="I20" s="98" t="s">
        <v>1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ht="15.75" x14ac:dyDescent="0.25">
      <c r="A21" s="97" t="s">
        <v>58</v>
      </c>
      <c r="B21" s="97"/>
      <c r="C21" s="97"/>
      <c r="D21" s="97"/>
      <c r="E21" s="97"/>
      <c r="F21" s="97"/>
      <c r="G21" s="97"/>
      <c r="H21" s="103">
        <f>(H19^2*H14^2)/(1.486^2*H16^(4/3))</f>
        <v>5.979259631919598E-4</v>
      </c>
      <c r="I21" s="98" t="s">
        <v>1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1:19" ht="15.75" x14ac:dyDescent="0.25">
      <c r="A22" s="97" t="s">
        <v>59</v>
      </c>
      <c r="B22" s="97"/>
      <c r="C22" s="97"/>
      <c r="D22" s="97"/>
      <c r="E22" s="97"/>
      <c r="F22" s="97"/>
      <c r="G22" s="97"/>
      <c r="H22" s="104">
        <f>H21*H6</f>
        <v>5.9792596319195979E-2</v>
      </c>
      <c r="I22" s="98" t="s">
        <v>1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1:19" ht="15.75" x14ac:dyDescent="0.25">
      <c r="A23" s="97" t="s">
        <v>61</v>
      </c>
      <c r="B23" s="97"/>
      <c r="C23" s="97"/>
      <c r="D23" s="97"/>
      <c r="E23" s="97"/>
      <c r="F23" s="97"/>
      <c r="G23" s="97"/>
      <c r="H23" s="105">
        <f>0.1*H20</f>
        <v>5.4228989732538972E-2</v>
      </c>
      <c r="I23" s="98" t="s">
        <v>1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</row>
    <row r="24" spans="1:19" ht="15.75" x14ac:dyDescent="0.25">
      <c r="A24" s="97" t="s">
        <v>62</v>
      </c>
      <c r="B24" s="97"/>
      <c r="C24" s="97"/>
      <c r="D24" s="97"/>
      <c r="E24" s="97"/>
      <c r="F24" s="97"/>
      <c r="G24" s="97"/>
      <c r="H24" s="104">
        <f>H22+H23</f>
        <v>0.11402158605173496</v>
      </c>
      <c r="I24" s="98" t="s">
        <v>1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spans="1:19" ht="15.75" x14ac:dyDescent="0.25">
      <c r="A25" s="97" t="s">
        <v>38</v>
      </c>
      <c r="B25" s="97"/>
      <c r="C25" s="97"/>
      <c r="D25" s="97"/>
      <c r="E25" s="97"/>
      <c r="F25" s="97"/>
      <c r="G25" s="97"/>
      <c r="H25" s="106">
        <f>H4-H24</f>
        <v>4.8859784139482647</v>
      </c>
      <c r="I25" s="98" t="s">
        <v>1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</row>
    <row r="26" spans="1:19" ht="15.75" x14ac:dyDescent="0.25">
      <c r="A26" s="107" t="s">
        <v>63</v>
      </c>
      <c r="B26" s="107"/>
      <c r="C26" s="107"/>
      <c r="D26" s="97"/>
      <c r="E26" s="97"/>
      <c r="F26" s="97"/>
      <c r="G26" s="97"/>
      <c r="H26" s="97"/>
      <c r="I26" s="97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spans="1:19" ht="15.75" x14ac:dyDescent="0.25">
      <c r="A27" s="97" t="s">
        <v>72</v>
      </c>
      <c r="B27" s="97"/>
      <c r="C27" s="97"/>
      <c r="D27" s="97"/>
      <c r="E27" s="97"/>
      <c r="F27" s="97"/>
      <c r="G27" s="97"/>
      <c r="H27" s="106">
        <f>H12/H25</f>
        <v>0.40933459597170807</v>
      </c>
      <c r="I27" s="97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 ht="15.75" x14ac:dyDescent="0.25">
      <c r="A28" s="97" t="s">
        <v>64</v>
      </c>
      <c r="B28" s="97"/>
      <c r="C28" s="97"/>
      <c r="D28" s="97"/>
      <c r="E28" s="97"/>
      <c r="F28" s="97"/>
      <c r="G28" s="97"/>
      <c r="H28" s="108">
        <v>3.77</v>
      </c>
      <c r="I28" s="97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 s="16" customFormat="1" ht="15.75" x14ac:dyDescent="0.25">
      <c r="A29" s="107" t="s">
        <v>65</v>
      </c>
      <c r="B29" s="107"/>
      <c r="C29" s="107"/>
      <c r="D29" s="109"/>
      <c r="E29" s="109"/>
      <c r="F29" s="109"/>
      <c r="G29" s="109"/>
      <c r="H29" s="109"/>
      <c r="I29" s="109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spans="1:19" ht="15.75" x14ac:dyDescent="0.25">
      <c r="A30" s="109" t="s">
        <v>73</v>
      </c>
      <c r="B30" s="97"/>
      <c r="C30" s="97"/>
      <c r="D30" s="97"/>
      <c r="E30" s="97"/>
      <c r="F30" s="97"/>
      <c r="G30" s="97"/>
      <c r="H30" s="108">
        <v>1.018</v>
      </c>
      <c r="I30" s="97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1:19" ht="15.75" x14ac:dyDescent="0.25">
      <c r="A31" s="109" t="s">
        <v>66</v>
      </c>
      <c r="B31" s="97"/>
      <c r="C31" s="97"/>
      <c r="D31" s="97"/>
      <c r="E31" s="97"/>
      <c r="F31" s="97"/>
      <c r="G31" s="97"/>
      <c r="H31" s="106">
        <f>H30*H28</f>
        <v>3.83786</v>
      </c>
      <c r="I31" s="97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 ht="15.75" x14ac:dyDescent="0.25">
      <c r="A32" s="107" t="s">
        <v>67</v>
      </c>
      <c r="B32" s="107"/>
      <c r="C32" s="107"/>
      <c r="D32" s="97"/>
      <c r="E32" s="97"/>
      <c r="F32" s="97"/>
      <c r="G32" s="97"/>
      <c r="H32" s="97"/>
      <c r="I32" s="97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1:19" ht="15.75" x14ac:dyDescent="0.25">
      <c r="A33" s="109" t="s">
        <v>68</v>
      </c>
      <c r="B33" s="97"/>
      <c r="C33" s="97"/>
      <c r="D33" s="97"/>
      <c r="E33" s="97"/>
      <c r="F33" s="97"/>
      <c r="G33" s="97"/>
      <c r="H33" s="106">
        <f>H25+H12</f>
        <v>6.8859784139482647</v>
      </c>
      <c r="I33" s="97" t="s">
        <v>1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1:19" ht="15.75" x14ac:dyDescent="0.25">
      <c r="A34" s="109" t="s">
        <v>8</v>
      </c>
      <c r="B34" s="97"/>
      <c r="C34" s="97"/>
      <c r="D34" s="97"/>
      <c r="E34" s="97"/>
      <c r="F34" s="97"/>
      <c r="G34" s="97"/>
      <c r="H34" s="106">
        <f>H33/H25</f>
        <v>1.4093345959717081</v>
      </c>
      <c r="I34" s="97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1:19" ht="15.75" x14ac:dyDescent="0.25">
      <c r="A35" s="109" t="s">
        <v>69</v>
      </c>
      <c r="B35" s="97"/>
      <c r="C35" s="97"/>
      <c r="D35" s="97"/>
      <c r="E35" s="97"/>
      <c r="F35" s="97"/>
      <c r="G35" s="97"/>
      <c r="H35" s="108">
        <v>0.91</v>
      </c>
      <c r="I35" s="97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1:19" ht="15.75" x14ac:dyDescent="0.25">
      <c r="A36" s="109" t="s">
        <v>70</v>
      </c>
      <c r="B36" s="97"/>
      <c r="C36" s="97"/>
      <c r="D36" s="97"/>
      <c r="E36" s="97"/>
      <c r="F36" s="97"/>
      <c r="G36" s="97"/>
      <c r="H36" s="111">
        <f>0.91*H25</f>
        <v>4.4462403566929209</v>
      </c>
      <c r="I36" s="97" t="s">
        <v>1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spans="1:19" ht="15.75" x14ac:dyDescent="0.25">
      <c r="A37" s="109" t="s">
        <v>74</v>
      </c>
      <c r="B37" s="97"/>
      <c r="C37" s="97"/>
      <c r="D37" s="97"/>
      <c r="E37" s="97"/>
      <c r="F37" s="97"/>
      <c r="G37" s="97"/>
      <c r="H37" s="106">
        <f>H33-H36</f>
        <v>2.4397380572553438</v>
      </c>
      <c r="I37" s="97" t="s">
        <v>1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1:19" ht="15.75" x14ac:dyDescent="0.25">
      <c r="A38" s="109" t="s">
        <v>76</v>
      </c>
      <c r="B38" s="97"/>
      <c r="C38" s="97"/>
      <c r="D38" s="97"/>
      <c r="E38" s="97"/>
      <c r="F38" s="97"/>
      <c r="G38" s="97"/>
      <c r="H38" s="106">
        <f>H18/H37</f>
        <v>16.955614337665182</v>
      </c>
      <c r="I38" s="97" t="s">
        <v>18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 ht="15.75" x14ac:dyDescent="0.25">
      <c r="A39" s="109" t="s">
        <v>75</v>
      </c>
      <c r="B39" s="97"/>
      <c r="C39" s="97"/>
      <c r="D39" s="97"/>
      <c r="E39" s="97"/>
      <c r="F39" s="97"/>
      <c r="G39" s="97"/>
      <c r="H39" s="111">
        <f>H38^2/(2*H13)</f>
        <v>4.4641748069508864</v>
      </c>
      <c r="I39" s="97" t="s">
        <v>1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spans="1:19" ht="15.75" x14ac:dyDescent="0.25">
      <c r="A40" s="109" t="s">
        <v>77</v>
      </c>
      <c r="B40" s="97"/>
      <c r="C40" s="97"/>
      <c r="D40" s="97"/>
      <c r="E40" s="97"/>
      <c r="F40" s="97"/>
      <c r="G40" s="97"/>
      <c r="H40" s="106"/>
      <c r="I40" s="97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1:19" ht="15.75" x14ac:dyDescent="0.25">
      <c r="A41" s="107" t="s">
        <v>78</v>
      </c>
      <c r="B41" s="107"/>
      <c r="C41" s="107"/>
      <c r="D41" s="97"/>
      <c r="E41" s="97"/>
      <c r="F41" s="97"/>
      <c r="G41" s="97"/>
      <c r="H41" s="106"/>
      <c r="I41" s="97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1:19" ht="15.75" x14ac:dyDescent="0.25">
      <c r="A42" s="109" t="s">
        <v>79</v>
      </c>
      <c r="B42" s="97"/>
      <c r="C42" s="97"/>
      <c r="D42" s="97"/>
      <c r="E42" s="97"/>
      <c r="F42" s="97"/>
      <c r="G42" s="97"/>
      <c r="H42" s="106">
        <f>H34</f>
        <v>1.4093345959717081</v>
      </c>
      <c r="I42" s="97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spans="1:19" ht="15.75" x14ac:dyDescent="0.25">
      <c r="A43" s="109" t="s">
        <v>80</v>
      </c>
      <c r="B43" s="97"/>
      <c r="C43" s="97"/>
      <c r="D43" s="97"/>
      <c r="E43" s="97"/>
      <c r="F43" s="97"/>
      <c r="G43" s="97"/>
      <c r="H43" s="112">
        <v>0.96599999999999997</v>
      </c>
      <c r="I43" s="97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spans="1:19" ht="15.75" x14ac:dyDescent="0.25">
      <c r="A44" s="109" t="s">
        <v>81</v>
      </c>
      <c r="B44" s="97"/>
      <c r="C44" s="97"/>
      <c r="D44" s="97"/>
      <c r="E44" s="97"/>
      <c r="F44" s="97"/>
      <c r="G44" s="97"/>
      <c r="H44" s="113">
        <f>H43*H31</f>
        <v>3.7073727599999997</v>
      </c>
      <c r="I44" s="97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19" ht="15.75" x14ac:dyDescent="0.25">
      <c r="A45" s="114" t="s">
        <v>82</v>
      </c>
      <c r="B45" s="114"/>
      <c r="C45" s="114"/>
      <c r="D45" s="114"/>
      <c r="E45" s="97"/>
      <c r="F45" s="97"/>
      <c r="G45" s="97"/>
      <c r="H45" s="113"/>
      <c r="I45" s="97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1:19" ht="15.75" x14ac:dyDescent="0.25">
      <c r="A46" s="109" t="s">
        <v>83</v>
      </c>
      <c r="B46" s="97"/>
      <c r="C46" s="97"/>
      <c r="D46" s="97"/>
      <c r="E46" s="97"/>
      <c r="F46" s="97"/>
      <c r="G46" s="97"/>
      <c r="H46" s="113">
        <f>H3/(H44*(H25)^1.5)</f>
        <v>49.950107257712759</v>
      </c>
      <c r="I46" s="97" t="s">
        <v>1</v>
      </c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spans="1:19" ht="15.75" x14ac:dyDescent="0.25">
      <c r="A47" s="114" t="s">
        <v>84</v>
      </c>
      <c r="B47" s="114"/>
      <c r="C47" s="114"/>
      <c r="D47" s="114"/>
      <c r="E47" s="97"/>
      <c r="F47" s="97"/>
      <c r="G47" s="97"/>
      <c r="H47" s="113"/>
      <c r="I47" s="97"/>
      <c r="J47" s="96"/>
      <c r="K47" s="96"/>
      <c r="L47" s="96"/>
      <c r="M47" s="96"/>
      <c r="N47" s="96"/>
      <c r="O47" s="96"/>
      <c r="P47" s="96"/>
      <c r="Q47" s="96"/>
      <c r="R47" s="96"/>
      <c r="S47" s="96"/>
    </row>
    <row r="48" spans="1:19" ht="15.75" x14ac:dyDescent="0.25">
      <c r="A48" s="109" t="s">
        <v>85</v>
      </c>
      <c r="B48" s="97"/>
      <c r="C48" s="97"/>
      <c r="D48" s="97"/>
      <c r="E48" s="97"/>
      <c r="F48" s="97"/>
      <c r="G48" s="97"/>
      <c r="H48" s="113">
        <f>ROUNDDOWN(H46/H9,0)</f>
        <v>2</v>
      </c>
      <c r="I48" s="97"/>
      <c r="J48" s="96"/>
      <c r="K48" s="96"/>
      <c r="L48" s="96"/>
      <c r="M48" s="96"/>
      <c r="N48" s="96"/>
      <c r="O48" s="96"/>
      <c r="P48" s="96"/>
      <c r="Q48" s="96"/>
      <c r="R48" s="96"/>
      <c r="S48" s="96"/>
    </row>
    <row r="49" spans="1:19" s="16" customFormat="1" ht="15.75" x14ac:dyDescent="0.25">
      <c r="A49" s="109" t="s">
        <v>86</v>
      </c>
      <c r="B49" s="109"/>
      <c r="C49" s="109"/>
      <c r="D49" s="109"/>
      <c r="E49" s="109"/>
      <c r="F49" s="109"/>
      <c r="G49" s="109"/>
      <c r="H49" s="115">
        <v>0.01</v>
      </c>
      <c r="I49" s="109"/>
      <c r="J49" s="110"/>
      <c r="K49" s="110"/>
      <c r="L49" s="110"/>
      <c r="M49" s="110"/>
      <c r="N49" s="110"/>
      <c r="O49" s="110"/>
      <c r="P49" s="110"/>
      <c r="Q49" s="110"/>
      <c r="R49" s="110"/>
      <c r="S49" s="110"/>
    </row>
    <row r="50" spans="1:19" ht="15.75" x14ac:dyDescent="0.25">
      <c r="A50" s="109" t="s">
        <v>87</v>
      </c>
      <c r="B50" s="97"/>
      <c r="C50" s="97"/>
      <c r="D50" s="97"/>
      <c r="E50" s="97"/>
      <c r="F50" s="97"/>
      <c r="G50" s="97"/>
      <c r="H50" s="115">
        <v>0</v>
      </c>
      <c r="I50" s="97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1:19" ht="15.75" x14ac:dyDescent="0.25">
      <c r="A51" s="109" t="s">
        <v>88</v>
      </c>
      <c r="B51" s="97"/>
      <c r="C51" s="97"/>
      <c r="D51" s="97"/>
      <c r="E51" s="97"/>
      <c r="F51" s="97"/>
      <c r="G51" s="97"/>
      <c r="H51" s="113">
        <f>H46+(2*(H48*H49+H50)*H25)</f>
        <v>50.145546394270688</v>
      </c>
      <c r="I51" s="97" t="s">
        <v>1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spans="1:19" ht="16.5" thickBot="1" x14ac:dyDescent="0.3">
      <c r="A52" s="116" t="s">
        <v>0</v>
      </c>
      <c r="B52" s="116"/>
      <c r="C52" s="116"/>
      <c r="D52" s="116"/>
      <c r="E52" s="116"/>
      <c r="F52" s="116"/>
      <c r="G52" s="116"/>
      <c r="H52" s="117">
        <f>AVERAGE(H46,H51)</f>
        <v>50.04782682599172</v>
      </c>
      <c r="I52" s="116" t="s">
        <v>1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spans="1:19" ht="15.75" x14ac:dyDescent="0.25">
      <c r="A53" s="147" t="s">
        <v>91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9"/>
    </row>
    <row r="54" spans="1:19" ht="63" x14ac:dyDescent="0.25">
      <c r="A54" s="118"/>
      <c r="B54" s="119"/>
      <c r="C54" s="119"/>
      <c r="D54" s="119" t="s">
        <v>23</v>
      </c>
      <c r="E54" s="119"/>
      <c r="F54" s="119" t="s">
        <v>25</v>
      </c>
      <c r="G54" s="119"/>
      <c r="H54" s="119"/>
      <c r="I54" s="119"/>
      <c r="J54" s="119"/>
      <c r="K54" s="119" t="s">
        <v>31</v>
      </c>
      <c r="L54" s="119"/>
      <c r="M54" s="119"/>
      <c r="N54" s="119"/>
      <c r="O54" s="119" t="s">
        <v>32</v>
      </c>
      <c r="P54" s="119" t="s">
        <v>15</v>
      </c>
      <c r="Q54" s="119" t="s">
        <v>17</v>
      </c>
      <c r="R54" s="119" t="s">
        <v>19</v>
      </c>
      <c r="S54" s="120" t="s">
        <v>20</v>
      </c>
    </row>
    <row r="55" spans="1:19" s="61" customFormat="1" ht="15" customHeight="1" x14ac:dyDescent="0.25">
      <c r="A55" s="118" t="s">
        <v>3</v>
      </c>
      <c r="B55" s="119" t="s">
        <v>4</v>
      </c>
      <c r="C55" s="119" t="s">
        <v>5</v>
      </c>
      <c r="D55" s="119" t="s">
        <v>6</v>
      </c>
      <c r="E55" s="119" t="s">
        <v>26</v>
      </c>
      <c r="F55" s="119" t="s">
        <v>7</v>
      </c>
      <c r="G55" s="119" t="s">
        <v>8</v>
      </c>
      <c r="H55" s="119" t="s">
        <v>9</v>
      </c>
      <c r="I55" s="119" t="s">
        <v>10</v>
      </c>
      <c r="J55" s="119" t="s">
        <v>27</v>
      </c>
      <c r="K55" s="119" t="s">
        <v>11</v>
      </c>
      <c r="L55" s="119" t="s">
        <v>12</v>
      </c>
      <c r="M55" s="119" t="s">
        <v>13</v>
      </c>
      <c r="N55" s="119" t="s">
        <v>14</v>
      </c>
      <c r="O55" s="119" t="s">
        <v>33</v>
      </c>
      <c r="P55" s="119" t="s">
        <v>16</v>
      </c>
      <c r="Q55" s="119"/>
      <c r="R55" s="119"/>
      <c r="S55" s="120" t="s">
        <v>21</v>
      </c>
    </row>
    <row r="56" spans="1:19" ht="15.75" x14ac:dyDescent="0.25">
      <c r="A56" s="121"/>
      <c r="B56" s="122"/>
      <c r="C56" s="122" t="s">
        <v>1</v>
      </c>
      <c r="D56" s="122" t="s">
        <v>22</v>
      </c>
      <c r="E56" s="122"/>
      <c r="F56" s="122"/>
      <c r="G56" s="122"/>
      <c r="H56" s="122" t="s">
        <v>92</v>
      </c>
      <c r="I56" s="122"/>
      <c r="J56" s="122"/>
      <c r="K56" s="122" t="s">
        <v>1</v>
      </c>
      <c r="L56" s="122" t="s">
        <v>18</v>
      </c>
      <c r="M56" s="122" t="s">
        <v>1</v>
      </c>
      <c r="N56" s="122"/>
      <c r="O56" s="122" t="s">
        <v>1</v>
      </c>
      <c r="P56" s="122" t="s">
        <v>1</v>
      </c>
      <c r="Q56" s="122" t="s">
        <v>1</v>
      </c>
      <c r="R56" s="122" t="s">
        <v>1</v>
      </c>
      <c r="S56" s="123" t="s">
        <v>128</v>
      </c>
    </row>
    <row r="57" spans="1:19" ht="15.75" x14ac:dyDescent="0.25">
      <c r="A57" s="124">
        <v>1</v>
      </c>
      <c r="B57" s="125">
        <v>0.1</v>
      </c>
      <c r="C57" s="126">
        <f t="shared" ref="C57:C63" si="0">B57*$O$4</f>
        <v>0.48859784139482648</v>
      </c>
      <c r="D57" s="125">
        <v>0.82</v>
      </c>
      <c r="E57" s="126">
        <f t="shared" ref="E57:E63" si="1">D57*$O$6</f>
        <v>3.1470452</v>
      </c>
      <c r="F57" s="126">
        <f t="shared" ref="F57:F63" si="2">C57+$O$5</f>
        <v>2.4885978413948266</v>
      </c>
      <c r="G57" s="126">
        <f>F57/C57</f>
        <v>5.0933459597170812</v>
      </c>
      <c r="H57" s="125">
        <v>1</v>
      </c>
      <c r="I57" s="126">
        <f>H57*E57</f>
        <v>3.1470452</v>
      </c>
      <c r="J57" s="127">
        <f>I57*C57^1.5</f>
        <v>1.0748065304442163</v>
      </c>
      <c r="K57" s="126">
        <f t="shared" ref="K57:K63" si="3">C57+$O$5</f>
        <v>2.4885978413948266</v>
      </c>
      <c r="L57" s="126">
        <f>J57/K57</f>
        <v>0.43189241450189525</v>
      </c>
      <c r="M57" s="128">
        <f t="shared" ref="M57:M63" si="4">L57^2/(2*$H$13)</f>
        <v>2.8964449954080257E-3</v>
      </c>
      <c r="N57" s="129">
        <f t="shared" ref="N57:N63" si="5">(L57^2*$H$14^2)/(1.486^2*K57^(4/3))</f>
        <v>1.2680574894913105E-5</v>
      </c>
      <c r="O57" s="129">
        <f t="shared" ref="O57:O63" si="6">N57*$O$7</f>
        <v>1.2680574894913105E-3</v>
      </c>
      <c r="P57" s="126">
        <f>0.1*M57</f>
        <v>2.8964449954080258E-4</v>
      </c>
      <c r="Q57" s="126">
        <f>O57+P57</f>
        <v>1.557701989032113E-3</v>
      </c>
      <c r="R57" s="126">
        <f>C57+Q57</f>
        <v>0.49015554338385858</v>
      </c>
      <c r="S57" s="130">
        <f t="shared" ref="S57:S63" si="7">I57*$H$52*C57^1.5</f>
        <v>53.79173110711713</v>
      </c>
    </row>
    <row r="58" spans="1:19" ht="15.75" x14ac:dyDescent="0.25">
      <c r="A58" s="124">
        <v>2</v>
      </c>
      <c r="B58" s="125">
        <v>0.2</v>
      </c>
      <c r="C58" s="126">
        <f t="shared" si="0"/>
        <v>0.97719568278965296</v>
      </c>
      <c r="D58" s="125">
        <v>0.85</v>
      </c>
      <c r="E58" s="126">
        <f t="shared" si="1"/>
        <v>3.262181</v>
      </c>
      <c r="F58" s="126">
        <f t="shared" si="2"/>
        <v>2.9771956827896529</v>
      </c>
      <c r="G58" s="126">
        <f t="shared" ref="G58:G63" si="8">F58/C58</f>
        <v>3.0466729798585401</v>
      </c>
      <c r="H58" s="125">
        <v>1</v>
      </c>
      <c r="I58" s="126">
        <f t="shared" ref="I58:I63" si="9">H58*E58</f>
        <v>3.262181</v>
      </c>
      <c r="J58" s="127">
        <f t="shared" ref="J58:J63" si="10">I58*C58^1.5</f>
        <v>3.1512318937540837</v>
      </c>
      <c r="K58" s="126">
        <f t="shared" si="3"/>
        <v>2.9771956827896529</v>
      </c>
      <c r="L58" s="126">
        <f t="shared" ref="L58:L63" si="11">J58/K58</f>
        <v>1.0584564232611535</v>
      </c>
      <c r="M58" s="128">
        <f t="shared" si="4"/>
        <v>1.739642857054028E-2</v>
      </c>
      <c r="N58" s="129">
        <f t="shared" si="5"/>
        <v>5.9969469756474721E-5</v>
      </c>
      <c r="O58" s="129">
        <f t="shared" si="6"/>
        <v>5.9969469756474721E-3</v>
      </c>
      <c r="P58" s="126">
        <f t="shared" ref="P58:P63" si="12">0.1*M58</f>
        <v>1.739642857054028E-3</v>
      </c>
      <c r="Q58" s="126">
        <f t="shared" ref="Q58:Q63" si="13">O58+P58</f>
        <v>7.7365898327015001E-3</v>
      </c>
      <c r="R58" s="126">
        <f t="shared" ref="R58:R63" si="14">C58+Q58</f>
        <v>0.9849322726223545</v>
      </c>
      <c r="S58" s="130">
        <f t="shared" si="7"/>
        <v>157.71230810714633</v>
      </c>
    </row>
    <row r="59" spans="1:19" ht="15.75" x14ac:dyDescent="0.25">
      <c r="A59" s="124">
        <v>3</v>
      </c>
      <c r="B59" s="125">
        <v>0.4</v>
      </c>
      <c r="C59" s="126">
        <f t="shared" si="0"/>
        <v>1.9543913655793059</v>
      </c>
      <c r="D59" s="125">
        <v>0.9</v>
      </c>
      <c r="E59" s="126">
        <f t="shared" si="1"/>
        <v>3.4540740000000003</v>
      </c>
      <c r="F59" s="126">
        <f t="shared" si="2"/>
        <v>3.9543913655793057</v>
      </c>
      <c r="G59" s="126">
        <f t="shared" si="8"/>
        <v>2.0233364899292701</v>
      </c>
      <c r="H59" s="125">
        <v>1</v>
      </c>
      <c r="I59" s="126">
        <f t="shared" si="9"/>
        <v>3.4540740000000003</v>
      </c>
      <c r="J59" s="127">
        <f t="shared" si="10"/>
        <v>9.4373256331687276</v>
      </c>
      <c r="K59" s="126">
        <f t="shared" si="3"/>
        <v>3.9543913655793057</v>
      </c>
      <c r="L59" s="126">
        <f t="shared" si="11"/>
        <v>2.3865431518274089</v>
      </c>
      <c r="M59" s="128">
        <f t="shared" si="4"/>
        <v>8.8440810800222092E-2</v>
      </c>
      <c r="N59" s="129">
        <f t="shared" si="5"/>
        <v>2.0881409065052068E-4</v>
      </c>
      <c r="O59" s="129">
        <f t="shared" si="6"/>
        <v>2.0881409065052068E-2</v>
      </c>
      <c r="P59" s="126">
        <f t="shared" si="12"/>
        <v>8.8440810800222095E-3</v>
      </c>
      <c r="Q59" s="126">
        <f t="shared" si="13"/>
        <v>2.9725490145074279E-2</v>
      </c>
      <c r="R59" s="126">
        <f t="shared" si="14"/>
        <v>1.9841168557243802</v>
      </c>
      <c r="S59" s="130">
        <f t="shared" si="7"/>
        <v>472.31763898932115</v>
      </c>
    </row>
    <row r="60" spans="1:19" ht="15.75" x14ac:dyDescent="0.25">
      <c r="A60" s="124">
        <v>4</v>
      </c>
      <c r="B60" s="125">
        <v>0.6</v>
      </c>
      <c r="C60" s="126">
        <f t="shared" si="0"/>
        <v>2.9315870483689586</v>
      </c>
      <c r="D60" s="125">
        <v>0.94</v>
      </c>
      <c r="E60" s="126">
        <f t="shared" si="1"/>
        <v>3.6075884</v>
      </c>
      <c r="F60" s="126">
        <f t="shared" si="2"/>
        <v>4.931587048368959</v>
      </c>
      <c r="G60" s="126">
        <f t="shared" si="8"/>
        <v>1.6822243266195136</v>
      </c>
      <c r="H60" s="125">
        <v>1</v>
      </c>
      <c r="I60" s="126">
        <f t="shared" si="9"/>
        <v>3.6075884</v>
      </c>
      <c r="J60" s="127">
        <f t="shared" si="10"/>
        <v>18.108028664572053</v>
      </c>
      <c r="K60" s="126">
        <f t="shared" si="3"/>
        <v>4.931587048368959</v>
      </c>
      <c r="L60" s="126">
        <f t="shared" si="11"/>
        <v>3.6718460988255259</v>
      </c>
      <c r="M60" s="128">
        <f t="shared" si="4"/>
        <v>0.20935487225869928</v>
      </c>
      <c r="N60" s="129">
        <f t="shared" si="5"/>
        <v>3.6822569129550296E-4</v>
      </c>
      <c r="O60" s="129">
        <f t="shared" si="6"/>
        <v>3.6822569129550294E-2</v>
      </c>
      <c r="P60" s="126">
        <f t="shared" si="12"/>
        <v>2.093548722586993E-2</v>
      </c>
      <c r="Q60" s="126">
        <f t="shared" si="13"/>
        <v>5.7758056355420223E-2</v>
      </c>
      <c r="R60" s="126">
        <f t="shared" si="14"/>
        <v>2.9893451047243786</v>
      </c>
      <c r="S60" s="130">
        <f t="shared" si="7"/>
        <v>906.26748276459625</v>
      </c>
    </row>
    <row r="61" spans="1:19" ht="15.75" x14ac:dyDescent="0.25">
      <c r="A61" s="124">
        <v>5</v>
      </c>
      <c r="B61" s="125">
        <v>0.8</v>
      </c>
      <c r="C61" s="126">
        <f t="shared" si="0"/>
        <v>3.9087827311586119</v>
      </c>
      <c r="D61" s="125">
        <v>0.97</v>
      </c>
      <c r="E61" s="126">
        <f t="shared" si="1"/>
        <v>3.7227242</v>
      </c>
      <c r="F61" s="126">
        <f t="shared" si="2"/>
        <v>5.9087827311586114</v>
      </c>
      <c r="G61" s="126">
        <f t="shared" si="8"/>
        <v>1.511668244964635</v>
      </c>
      <c r="H61" s="125">
        <v>0.98199999999999998</v>
      </c>
      <c r="I61" s="126">
        <f t="shared" si="9"/>
        <v>3.6557151644000001</v>
      </c>
      <c r="J61" s="127">
        <f t="shared" si="10"/>
        <v>28.251053440720135</v>
      </c>
      <c r="K61" s="126">
        <f t="shared" si="3"/>
        <v>5.9087827311586114</v>
      </c>
      <c r="L61" s="126">
        <f t="shared" si="11"/>
        <v>4.7811968600139378</v>
      </c>
      <c r="M61" s="128">
        <f t="shared" si="4"/>
        <v>0.35496651264296797</v>
      </c>
      <c r="N61" s="129">
        <f t="shared" si="5"/>
        <v>4.9061027613898889E-4</v>
      </c>
      <c r="O61" s="129">
        <f t="shared" si="6"/>
        <v>4.906102761389889E-2</v>
      </c>
      <c r="P61" s="126">
        <f t="shared" si="12"/>
        <v>3.5496651264296797E-2</v>
      </c>
      <c r="Q61" s="126">
        <f t="shared" si="13"/>
        <v>8.455767887819568E-2</v>
      </c>
      <c r="R61" s="126">
        <f t="shared" si="14"/>
        <v>3.9933404100368075</v>
      </c>
      <c r="S61" s="130">
        <f t="shared" si="7"/>
        <v>1413.9038302529989</v>
      </c>
    </row>
    <row r="62" spans="1:19" ht="15.75" x14ac:dyDescent="0.25">
      <c r="A62" s="131">
        <v>6</v>
      </c>
      <c r="B62" s="132">
        <v>1</v>
      </c>
      <c r="C62" s="133">
        <f t="shared" si="0"/>
        <v>4.8859784139482647</v>
      </c>
      <c r="D62" s="132">
        <v>1</v>
      </c>
      <c r="E62" s="133">
        <f t="shared" si="1"/>
        <v>3.83786</v>
      </c>
      <c r="F62" s="133">
        <f t="shared" si="2"/>
        <v>6.8859784139482647</v>
      </c>
      <c r="G62" s="133">
        <f t="shared" si="8"/>
        <v>1.4093345959717081</v>
      </c>
      <c r="H62" s="132">
        <v>0.96599999999999997</v>
      </c>
      <c r="I62" s="133">
        <f t="shared" si="9"/>
        <v>3.7073727599999997</v>
      </c>
      <c r="J62" s="134">
        <f t="shared" si="10"/>
        <v>40.03995406218435</v>
      </c>
      <c r="K62" s="133">
        <f t="shared" si="3"/>
        <v>6.8859784139482647</v>
      </c>
      <c r="L62" s="133">
        <f t="shared" si="11"/>
        <v>5.8147080422266884</v>
      </c>
      <c r="M62" s="135">
        <f t="shared" si="4"/>
        <v>0.52501288224123788</v>
      </c>
      <c r="N62" s="136">
        <f t="shared" si="5"/>
        <v>5.9169200617780263E-4</v>
      </c>
      <c r="O62" s="136">
        <f t="shared" si="6"/>
        <v>5.9169200617780263E-2</v>
      </c>
      <c r="P62" s="133">
        <f t="shared" si="12"/>
        <v>5.2501288224123789E-2</v>
      </c>
      <c r="Q62" s="133">
        <f t="shared" si="13"/>
        <v>0.11167048884190406</v>
      </c>
      <c r="R62" s="133">
        <f t="shared" si="14"/>
        <v>4.9976489027901687</v>
      </c>
      <c r="S62" s="137">
        <f t="shared" si="7"/>
        <v>2003.912687024866</v>
      </c>
    </row>
    <row r="63" spans="1:19" ht="16.5" thickBot="1" x14ac:dyDescent="0.3">
      <c r="A63" s="138">
        <v>7</v>
      </c>
      <c r="B63" s="139">
        <v>1.2</v>
      </c>
      <c r="C63" s="140">
        <f t="shared" si="0"/>
        <v>5.8631740967379171</v>
      </c>
      <c r="D63" s="139">
        <v>1.03</v>
      </c>
      <c r="E63" s="140">
        <f t="shared" si="1"/>
        <v>3.9529958000000001</v>
      </c>
      <c r="F63" s="140">
        <f t="shared" si="2"/>
        <v>7.8631740967379171</v>
      </c>
      <c r="G63" s="140">
        <f t="shared" si="8"/>
        <v>1.3411121633097567</v>
      </c>
      <c r="H63" s="139">
        <v>0.95</v>
      </c>
      <c r="I63" s="140">
        <f t="shared" si="9"/>
        <v>3.7553460099999998</v>
      </c>
      <c r="J63" s="141">
        <f t="shared" si="10"/>
        <v>53.314966811032086</v>
      </c>
      <c r="K63" s="140">
        <f t="shared" si="3"/>
        <v>7.8631740967379171</v>
      </c>
      <c r="L63" s="140">
        <f t="shared" si="11"/>
        <v>6.7803365606708503</v>
      </c>
      <c r="M63" s="142">
        <f t="shared" si="4"/>
        <v>0.71386589869518347</v>
      </c>
      <c r="N63" s="143">
        <f t="shared" si="5"/>
        <v>6.7406130854149075E-4</v>
      </c>
      <c r="O63" s="143">
        <f t="shared" si="6"/>
        <v>6.7406130854149079E-2</v>
      </c>
      <c r="P63" s="140">
        <f t="shared" si="12"/>
        <v>7.1386589869518347E-2</v>
      </c>
      <c r="Q63" s="140">
        <f t="shared" si="13"/>
        <v>0.13879272072366744</v>
      </c>
      <c r="R63" s="140">
        <f t="shared" si="14"/>
        <v>6.0019668174615841</v>
      </c>
      <c r="S63" s="144">
        <f t="shared" si="7"/>
        <v>2668.2982261920301</v>
      </c>
    </row>
    <row r="64" spans="1:19" ht="15.75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 ht="15.75" x14ac:dyDescent="0.25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 ht="15.75" x14ac:dyDescent="0.25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</row>
    <row r="67" spans="1:19" ht="15.75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</row>
    <row r="68" spans="1:19" ht="15.75" x14ac:dyDescent="0.25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</row>
    <row r="69" spans="1:19" ht="15.75" x14ac:dyDescent="0.2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</row>
    <row r="70" spans="1:19" ht="15.75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</row>
    <row r="71" spans="1:19" ht="15.75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</row>
    <row r="72" spans="1:19" ht="15.75" x14ac:dyDescent="0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</row>
    <row r="73" spans="1:19" ht="15.75" x14ac:dyDescent="0.25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</row>
    <row r="74" spans="1:19" ht="15.75" x14ac:dyDescent="0.2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</row>
    <row r="75" spans="1:19" ht="15.75" x14ac:dyDescent="0.2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</row>
    <row r="76" spans="1:19" ht="15.75" x14ac:dyDescent="0.25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1:19" ht="15.75" x14ac:dyDescent="0.25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1:19" ht="15.75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1:19" ht="15.75" x14ac:dyDescent="0.25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</row>
    <row r="80" spans="1:19" ht="15.75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</row>
    <row r="81" spans="1:19" ht="15.75" x14ac:dyDescent="0.25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</row>
    <row r="82" spans="1:19" ht="15.75" x14ac:dyDescent="0.25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</row>
    <row r="83" spans="1:19" ht="15.75" x14ac:dyDescent="0.25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</row>
    <row r="84" spans="1:19" ht="15.75" x14ac:dyDescent="0.25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</row>
    <row r="85" spans="1:19" ht="15.75" x14ac:dyDescent="0.25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</row>
  </sheetData>
  <mergeCells count="4">
    <mergeCell ref="A2:I2"/>
    <mergeCell ref="A15:I15"/>
    <mergeCell ref="A53:S53"/>
    <mergeCell ref="A1:S1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C099-B88F-47D2-8A50-539947957014}">
  <dimension ref="A1:U63"/>
  <sheetViews>
    <sheetView topLeftCell="A49" workbookViewId="0">
      <selection activeCell="H35" sqref="H35"/>
    </sheetView>
  </sheetViews>
  <sheetFormatPr defaultRowHeight="15" x14ac:dyDescent="0.25"/>
  <cols>
    <col min="1" max="3" width="9.140625" style="2"/>
    <col min="4" max="4" width="11.5703125" style="2" customWidth="1"/>
    <col min="5" max="7" width="9.140625" style="2"/>
    <col min="8" max="8" width="12.140625" style="2" customWidth="1"/>
    <col min="9" max="9" width="9.140625" style="2"/>
    <col min="10" max="10" width="11.140625" style="2" customWidth="1"/>
    <col min="11" max="13" width="9.140625" style="2"/>
    <col min="14" max="14" width="12.28515625" style="2" bestFit="1" customWidth="1"/>
    <col min="15" max="15" width="12.28515625" style="2" customWidth="1"/>
    <col min="16" max="18" width="9.140625" style="2"/>
    <col min="19" max="19" width="18.140625" style="2" customWidth="1"/>
    <col min="20" max="16384" width="9.140625" style="2"/>
  </cols>
  <sheetData>
    <row r="1" spans="1:21" ht="18.75" x14ac:dyDescent="0.3">
      <c r="A1" s="151" t="s">
        <v>36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x14ac:dyDescent="0.25">
      <c r="A2" s="152" t="s">
        <v>35</v>
      </c>
      <c r="B2" s="152"/>
      <c r="C2" s="152"/>
      <c r="D2" s="152"/>
      <c r="E2" s="152"/>
      <c r="F2" s="152"/>
      <c r="G2" s="152"/>
      <c r="H2" s="152"/>
      <c r="I2" s="152"/>
    </row>
    <row r="3" spans="1:21" x14ac:dyDescent="0.25">
      <c r="A3" s="3" t="s">
        <v>49</v>
      </c>
      <c r="B3" s="3"/>
      <c r="C3" s="3"/>
      <c r="D3" s="3"/>
      <c r="E3" s="3"/>
      <c r="F3" s="3"/>
      <c r="G3" s="3"/>
      <c r="H3" s="4">
        <v>2000</v>
      </c>
      <c r="I3" s="4" t="s">
        <v>37</v>
      </c>
    </row>
    <row r="4" spans="1:21" x14ac:dyDescent="0.25">
      <c r="A4" s="3" t="s">
        <v>71</v>
      </c>
      <c r="B4" s="3"/>
      <c r="C4" s="3"/>
      <c r="D4" s="3"/>
      <c r="E4" s="3"/>
      <c r="F4" s="3"/>
      <c r="G4" s="3"/>
      <c r="H4" s="4">
        <v>5</v>
      </c>
      <c r="I4" s="4" t="s">
        <v>1</v>
      </c>
      <c r="K4" s="2" t="s">
        <v>89</v>
      </c>
      <c r="O4" s="5">
        <f>H25</f>
        <v>4.8605599401392405</v>
      </c>
      <c r="P4" s="2" t="s">
        <v>1</v>
      </c>
    </row>
    <row r="5" spans="1:21" x14ac:dyDescent="0.25">
      <c r="A5" s="3" t="s">
        <v>39</v>
      </c>
      <c r="B5" s="3"/>
      <c r="C5" s="3"/>
      <c r="D5" s="3"/>
      <c r="E5" s="3"/>
      <c r="F5" s="3"/>
      <c r="G5" s="3"/>
      <c r="H5" s="6" t="s">
        <v>40</v>
      </c>
      <c r="I5" s="4"/>
      <c r="K5" s="2" t="s">
        <v>2</v>
      </c>
      <c r="O5" s="2">
        <f>H12</f>
        <v>1.5</v>
      </c>
      <c r="P5" s="2" t="s">
        <v>1</v>
      </c>
    </row>
    <row r="6" spans="1:21" x14ac:dyDescent="0.25">
      <c r="A6" s="3" t="s">
        <v>60</v>
      </c>
      <c r="B6" s="3"/>
      <c r="C6" s="3"/>
      <c r="D6" s="3"/>
      <c r="E6" s="3"/>
      <c r="F6" s="3"/>
      <c r="G6" s="3"/>
      <c r="H6" s="4">
        <v>100</v>
      </c>
      <c r="I6" s="4" t="s">
        <v>1</v>
      </c>
      <c r="K6" s="2" t="s">
        <v>24</v>
      </c>
      <c r="O6" s="5">
        <f>H31</f>
        <v>3.7666000000000004</v>
      </c>
    </row>
    <row r="7" spans="1:21" x14ac:dyDescent="0.25">
      <c r="A7" s="3" t="s">
        <v>41</v>
      </c>
      <c r="B7" s="3"/>
      <c r="C7" s="3"/>
      <c r="D7" s="3"/>
      <c r="E7" s="3"/>
      <c r="F7" s="3"/>
      <c r="G7" s="3"/>
      <c r="H7" s="4">
        <v>18</v>
      </c>
      <c r="I7" s="4" t="s">
        <v>42</v>
      </c>
      <c r="K7" s="2" t="s">
        <v>34</v>
      </c>
      <c r="O7" s="2">
        <f>H6</f>
        <v>100</v>
      </c>
      <c r="P7" s="2" t="s">
        <v>1</v>
      </c>
    </row>
    <row r="8" spans="1:21" x14ac:dyDescent="0.25">
      <c r="A8" s="3" t="s">
        <v>43</v>
      </c>
      <c r="B8" s="3"/>
      <c r="C8" s="3"/>
      <c r="D8" s="3"/>
      <c r="E8" s="3"/>
      <c r="F8" s="3"/>
      <c r="G8" s="3"/>
      <c r="H8" s="4" t="s">
        <v>44</v>
      </c>
      <c r="I8" s="4"/>
    </row>
    <row r="9" spans="1:21" x14ac:dyDescent="0.25">
      <c r="A9" s="3" t="s">
        <v>45</v>
      </c>
      <c r="B9" s="3"/>
      <c r="C9" s="3"/>
      <c r="D9" s="3"/>
      <c r="E9" s="3"/>
      <c r="F9" s="3"/>
      <c r="G9" s="3"/>
      <c r="H9" s="4">
        <v>20</v>
      </c>
      <c r="I9" s="4" t="s">
        <v>1</v>
      </c>
    </row>
    <row r="10" spans="1:21" x14ac:dyDescent="0.25">
      <c r="A10" s="3" t="s">
        <v>46</v>
      </c>
      <c r="B10" s="3"/>
      <c r="C10" s="3"/>
      <c r="D10" s="3"/>
      <c r="E10" s="3"/>
      <c r="F10" s="3"/>
      <c r="G10" s="3"/>
      <c r="H10" s="4">
        <v>5</v>
      </c>
      <c r="I10" s="4" t="s">
        <v>1</v>
      </c>
    </row>
    <row r="11" spans="1:21" x14ac:dyDescent="0.25">
      <c r="A11" s="3" t="s">
        <v>47</v>
      </c>
      <c r="B11" s="3"/>
      <c r="C11" s="3"/>
      <c r="D11" s="3"/>
      <c r="E11" s="3"/>
      <c r="F11" s="3"/>
      <c r="G11" s="3"/>
      <c r="H11" s="4">
        <v>30</v>
      </c>
      <c r="I11" s="4" t="s">
        <v>48</v>
      </c>
    </row>
    <row r="12" spans="1:21" x14ac:dyDescent="0.25">
      <c r="A12" s="3" t="s">
        <v>52</v>
      </c>
      <c r="B12" s="3"/>
      <c r="C12" s="3"/>
      <c r="D12" s="3"/>
      <c r="E12" s="3"/>
      <c r="F12" s="3"/>
      <c r="G12" s="3"/>
      <c r="H12" s="7">
        <v>1.5</v>
      </c>
      <c r="I12" s="4" t="s">
        <v>1</v>
      </c>
      <c r="J12" s="2" t="s">
        <v>50</v>
      </c>
    </row>
    <row r="13" spans="1:21" x14ac:dyDescent="0.25">
      <c r="A13" s="3" t="s">
        <v>28</v>
      </c>
      <c r="B13" s="3"/>
      <c r="C13" s="3"/>
      <c r="D13" s="3"/>
      <c r="E13" s="3"/>
      <c r="F13" s="3"/>
      <c r="G13" s="3"/>
      <c r="H13" s="7">
        <v>32.200000000000003</v>
      </c>
      <c r="I13" s="4" t="s">
        <v>29</v>
      </c>
    </row>
    <row r="14" spans="1:21" x14ac:dyDescent="0.25">
      <c r="A14" s="3" t="s">
        <v>30</v>
      </c>
      <c r="B14" s="3"/>
      <c r="C14" s="3"/>
      <c r="D14" s="3"/>
      <c r="E14" s="3"/>
      <c r="F14" s="3"/>
      <c r="G14" s="3"/>
      <c r="H14" s="7">
        <v>2.2499999999999999E-2</v>
      </c>
      <c r="I14" s="4"/>
    </row>
    <row r="15" spans="1:21" x14ac:dyDescent="0.25">
      <c r="A15" s="153" t="s">
        <v>90</v>
      </c>
      <c r="B15" s="153"/>
      <c r="C15" s="153"/>
      <c r="D15" s="153"/>
      <c r="E15" s="153"/>
      <c r="F15" s="153"/>
      <c r="G15" s="153"/>
      <c r="H15" s="153"/>
      <c r="I15" s="153"/>
    </row>
    <row r="16" spans="1:21" x14ac:dyDescent="0.25">
      <c r="A16" s="3" t="s">
        <v>51</v>
      </c>
      <c r="B16" s="3"/>
      <c r="C16" s="3"/>
      <c r="D16" s="3"/>
      <c r="E16" s="3"/>
      <c r="F16" s="3"/>
      <c r="G16" s="3"/>
      <c r="H16" s="4">
        <f>H4+H12</f>
        <v>6.5</v>
      </c>
      <c r="I16" s="4" t="s">
        <v>1</v>
      </c>
    </row>
    <row r="17" spans="1:9" x14ac:dyDescent="0.25">
      <c r="A17" s="3" t="s">
        <v>53</v>
      </c>
      <c r="B17" s="3"/>
      <c r="C17" s="3"/>
      <c r="D17" s="3"/>
      <c r="E17" s="3"/>
      <c r="F17" s="3"/>
      <c r="G17" s="3"/>
      <c r="H17" s="7">
        <v>3.7</v>
      </c>
      <c r="I17" s="4"/>
    </row>
    <row r="18" spans="1:9" x14ac:dyDescent="0.25">
      <c r="A18" s="3" t="s">
        <v>54</v>
      </c>
      <c r="B18" s="3"/>
      <c r="C18" s="3"/>
      <c r="D18" s="3"/>
      <c r="E18" s="3"/>
      <c r="F18" s="3"/>
      <c r="G18" s="3"/>
      <c r="H18" s="8">
        <f>H17*H4^1.5</f>
        <v>41.367257583746103</v>
      </c>
      <c r="I18" s="4" t="s">
        <v>55</v>
      </c>
    </row>
    <row r="19" spans="1:9" x14ac:dyDescent="0.25">
      <c r="A19" s="3" t="s">
        <v>56</v>
      </c>
      <c r="B19" s="3"/>
      <c r="C19" s="3"/>
      <c r="D19" s="3"/>
      <c r="E19" s="3"/>
      <c r="F19" s="3"/>
      <c r="G19" s="3"/>
      <c r="H19" s="8">
        <f>H18/H16</f>
        <v>6.3641934744224775</v>
      </c>
      <c r="I19" s="4" t="s">
        <v>18</v>
      </c>
    </row>
    <row r="20" spans="1:9" x14ac:dyDescent="0.25">
      <c r="A20" s="3" t="s">
        <v>57</v>
      </c>
      <c r="B20" s="3"/>
      <c r="C20" s="3"/>
      <c r="D20" s="3"/>
      <c r="E20" s="3"/>
      <c r="F20" s="3"/>
      <c r="G20" s="3"/>
      <c r="H20" s="8">
        <f>H19^2/(2*H13)</f>
        <v>0.62892792825903165</v>
      </c>
      <c r="I20" s="4" t="s">
        <v>1</v>
      </c>
    </row>
    <row r="21" spans="1:9" x14ac:dyDescent="0.25">
      <c r="A21" s="3" t="s">
        <v>58</v>
      </c>
      <c r="B21" s="3"/>
      <c r="C21" s="3"/>
      <c r="D21" s="3"/>
      <c r="E21" s="3"/>
      <c r="F21" s="3"/>
      <c r="G21" s="3"/>
      <c r="H21" s="9">
        <f>(H19^2*H14^2)/(1.486^2*H16^(4/3))</f>
        <v>7.6547267034856074E-4</v>
      </c>
      <c r="I21" s="4" t="s">
        <v>1</v>
      </c>
    </row>
    <row r="22" spans="1:9" x14ac:dyDescent="0.25">
      <c r="A22" s="3" t="s">
        <v>59</v>
      </c>
      <c r="B22" s="3"/>
      <c r="C22" s="3"/>
      <c r="D22" s="3"/>
      <c r="E22" s="3"/>
      <c r="F22" s="3"/>
      <c r="G22" s="3"/>
      <c r="H22" s="10">
        <f>H21*H6</f>
        <v>7.6547267034856079E-2</v>
      </c>
      <c r="I22" s="4" t="s">
        <v>1</v>
      </c>
    </row>
    <row r="23" spans="1:9" x14ac:dyDescent="0.25">
      <c r="A23" s="3" t="s">
        <v>61</v>
      </c>
      <c r="B23" s="3"/>
      <c r="C23" s="3"/>
      <c r="D23" s="3"/>
      <c r="E23" s="3"/>
      <c r="F23" s="3"/>
      <c r="G23" s="3"/>
      <c r="H23" s="11">
        <f>0.1*H20</f>
        <v>6.2892792825903168E-2</v>
      </c>
      <c r="I23" s="4" t="s">
        <v>1</v>
      </c>
    </row>
    <row r="24" spans="1:9" x14ac:dyDescent="0.25">
      <c r="A24" s="3" t="s">
        <v>62</v>
      </c>
      <c r="B24" s="3"/>
      <c r="C24" s="3"/>
      <c r="D24" s="3"/>
      <c r="E24" s="3"/>
      <c r="F24" s="3"/>
      <c r="G24" s="3"/>
      <c r="H24" s="10">
        <f>H22+H23</f>
        <v>0.13944005986075925</v>
      </c>
      <c r="I24" s="4" t="s">
        <v>1</v>
      </c>
    </row>
    <row r="25" spans="1:9" x14ac:dyDescent="0.25">
      <c r="A25" s="3" t="s">
        <v>38</v>
      </c>
      <c r="B25" s="3"/>
      <c r="C25" s="3"/>
      <c r="D25" s="3"/>
      <c r="E25" s="3"/>
      <c r="F25" s="3"/>
      <c r="G25" s="3"/>
      <c r="H25" s="12">
        <f>H4-H24</f>
        <v>4.8605599401392405</v>
      </c>
      <c r="I25" s="4" t="s">
        <v>1</v>
      </c>
    </row>
    <row r="26" spans="1:9" x14ac:dyDescent="0.25">
      <c r="A26" s="13" t="s">
        <v>63</v>
      </c>
      <c r="B26" s="13"/>
      <c r="C26" s="13"/>
      <c r="D26" s="3"/>
      <c r="E26" s="3"/>
      <c r="F26" s="3"/>
      <c r="G26" s="3"/>
      <c r="H26" s="3"/>
      <c r="I26" s="3"/>
    </row>
    <row r="27" spans="1:9" x14ac:dyDescent="0.25">
      <c r="A27" s="3" t="s">
        <v>72</v>
      </c>
      <c r="B27" s="3"/>
      <c r="C27" s="3"/>
      <c r="D27" s="3"/>
      <c r="E27" s="3"/>
      <c r="F27" s="3"/>
      <c r="G27" s="3"/>
      <c r="H27" s="12">
        <f>H12/H25</f>
        <v>0.30860641952232143</v>
      </c>
      <c r="I27" s="3"/>
    </row>
    <row r="28" spans="1:9" x14ac:dyDescent="0.25">
      <c r="A28" s="3" t="s">
        <v>64</v>
      </c>
      <c r="B28" s="3"/>
      <c r="C28" s="3"/>
      <c r="D28" s="3"/>
      <c r="E28" s="3"/>
      <c r="F28" s="3"/>
      <c r="G28" s="3"/>
      <c r="H28" s="14">
        <v>3.7</v>
      </c>
      <c r="I28" s="3"/>
    </row>
    <row r="29" spans="1:9" s="16" customFormat="1" x14ac:dyDescent="0.25">
      <c r="A29" s="13" t="s">
        <v>65</v>
      </c>
      <c r="B29" s="13"/>
      <c r="C29" s="13"/>
      <c r="D29" s="15"/>
      <c r="E29" s="15"/>
      <c r="F29" s="15"/>
      <c r="G29" s="15"/>
      <c r="H29" s="15"/>
      <c r="I29" s="15"/>
    </row>
    <row r="30" spans="1:9" x14ac:dyDescent="0.25">
      <c r="A30" s="15" t="s">
        <v>73</v>
      </c>
      <c r="B30" s="3"/>
      <c r="C30" s="3"/>
      <c r="D30" s="3"/>
      <c r="E30" s="3"/>
      <c r="F30" s="3"/>
      <c r="G30" s="3"/>
      <c r="H30" s="14">
        <v>1.018</v>
      </c>
      <c r="I30" s="3"/>
    </row>
    <row r="31" spans="1:9" x14ac:dyDescent="0.25">
      <c r="A31" s="15" t="s">
        <v>66</v>
      </c>
      <c r="B31" s="3"/>
      <c r="C31" s="3"/>
      <c r="D31" s="3"/>
      <c r="E31" s="3"/>
      <c r="F31" s="3"/>
      <c r="G31" s="3"/>
      <c r="H31" s="12">
        <f>H30*H28</f>
        <v>3.7666000000000004</v>
      </c>
      <c r="I31" s="3"/>
    </row>
    <row r="32" spans="1:9" x14ac:dyDescent="0.25">
      <c r="A32" s="13" t="s">
        <v>67</v>
      </c>
      <c r="B32" s="13"/>
      <c r="C32" s="13"/>
      <c r="D32" s="3"/>
      <c r="E32" s="3"/>
      <c r="F32" s="3"/>
      <c r="G32" s="3"/>
      <c r="H32" s="3"/>
      <c r="I32" s="3"/>
    </row>
    <row r="33" spans="1:9" x14ac:dyDescent="0.25">
      <c r="A33" s="15" t="s">
        <v>68</v>
      </c>
      <c r="B33" s="3"/>
      <c r="C33" s="3"/>
      <c r="D33" s="3"/>
      <c r="E33" s="3"/>
      <c r="F33" s="3"/>
      <c r="G33" s="3"/>
      <c r="H33" s="12">
        <f>H25+H12</f>
        <v>6.3605599401392405</v>
      </c>
      <c r="I33" s="3" t="s">
        <v>1</v>
      </c>
    </row>
    <row r="34" spans="1:9" x14ac:dyDescent="0.25">
      <c r="A34" s="15" t="s">
        <v>8</v>
      </c>
      <c r="B34" s="3"/>
      <c r="C34" s="3"/>
      <c r="D34" s="3"/>
      <c r="E34" s="3"/>
      <c r="F34" s="3"/>
      <c r="G34" s="3"/>
      <c r="H34" s="12">
        <f>H33/H25</f>
        <v>1.3086064195223215</v>
      </c>
      <c r="I34" s="3"/>
    </row>
    <row r="35" spans="1:9" x14ac:dyDescent="0.25">
      <c r="A35" s="15" t="s">
        <v>69</v>
      </c>
      <c r="B35" s="3"/>
      <c r="C35" s="3"/>
      <c r="D35" s="3"/>
      <c r="E35" s="3"/>
      <c r="F35" s="3"/>
      <c r="G35" s="3"/>
      <c r="H35" s="14">
        <v>0.8</v>
      </c>
      <c r="I35" s="3"/>
    </row>
    <row r="36" spans="1:9" x14ac:dyDescent="0.25">
      <c r="A36" s="15" t="s">
        <v>70</v>
      </c>
      <c r="B36" s="3"/>
      <c r="C36" s="3"/>
      <c r="D36" s="3"/>
      <c r="E36" s="3"/>
      <c r="F36" s="3"/>
      <c r="G36" s="3"/>
      <c r="H36" s="17">
        <f>0.91*H25</f>
        <v>4.4231095455267093</v>
      </c>
      <c r="I36" s="3" t="s">
        <v>1</v>
      </c>
    </row>
    <row r="37" spans="1:9" x14ac:dyDescent="0.25">
      <c r="A37" s="15" t="s">
        <v>74</v>
      </c>
      <c r="B37" s="3"/>
      <c r="C37" s="3"/>
      <c r="D37" s="3"/>
      <c r="E37" s="3"/>
      <c r="F37" s="3"/>
      <c r="G37" s="3"/>
      <c r="H37" s="12">
        <f>H33-H36</f>
        <v>1.9374503946125312</v>
      </c>
      <c r="I37" s="3" t="s">
        <v>1</v>
      </c>
    </row>
    <row r="38" spans="1:9" x14ac:dyDescent="0.25">
      <c r="A38" s="15" t="s">
        <v>76</v>
      </c>
      <c r="B38" s="3"/>
      <c r="C38" s="3"/>
      <c r="D38" s="3"/>
      <c r="E38" s="3"/>
      <c r="F38" s="3"/>
      <c r="G38" s="3"/>
      <c r="H38" s="12">
        <f>H18/H37</f>
        <v>21.351389278804788</v>
      </c>
      <c r="I38" s="3" t="s">
        <v>18</v>
      </c>
    </row>
    <row r="39" spans="1:9" x14ac:dyDescent="0.25">
      <c r="A39" s="15" t="s">
        <v>75</v>
      </c>
      <c r="B39" s="3"/>
      <c r="C39" s="3"/>
      <c r="D39" s="3"/>
      <c r="E39" s="3"/>
      <c r="F39" s="3"/>
      <c r="G39" s="3"/>
      <c r="H39" s="17">
        <f>H38^2/(2*H13)</f>
        <v>7.0789103126562116</v>
      </c>
      <c r="I39" s="3" t="s">
        <v>1</v>
      </c>
    </row>
    <row r="40" spans="1:9" x14ac:dyDescent="0.25">
      <c r="A40" s="15" t="s">
        <v>143</v>
      </c>
      <c r="B40" s="3"/>
      <c r="C40" s="3"/>
      <c r="D40" s="3"/>
      <c r="E40" s="3"/>
      <c r="F40" s="3"/>
      <c r="G40" s="3"/>
      <c r="H40" s="12"/>
      <c r="I40" s="3"/>
    </row>
    <row r="41" spans="1:9" x14ac:dyDescent="0.25">
      <c r="A41" s="13" t="s">
        <v>78</v>
      </c>
      <c r="B41" s="13"/>
      <c r="C41" s="13"/>
      <c r="D41" s="3"/>
      <c r="E41" s="3"/>
      <c r="F41" s="3"/>
      <c r="G41" s="3"/>
      <c r="H41" s="12"/>
      <c r="I41" s="3"/>
    </row>
    <row r="42" spans="1:9" x14ac:dyDescent="0.25">
      <c r="A42" s="15" t="s">
        <v>79</v>
      </c>
      <c r="B42" s="3"/>
      <c r="C42" s="3"/>
      <c r="D42" s="3"/>
      <c r="E42" s="3"/>
      <c r="F42" s="3"/>
      <c r="G42" s="3"/>
      <c r="H42" s="12">
        <f>H34</f>
        <v>1.3086064195223215</v>
      </c>
      <c r="I42" s="3"/>
    </row>
    <row r="43" spans="1:9" x14ac:dyDescent="0.25">
      <c r="A43" s="15" t="s">
        <v>80</v>
      </c>
      <c r="B43" s="3"/>
      <c r="C43" s="3"/>
      <c r="D43" s="3"/>
      <c r="E43" s="3"/>
      <c r="F43" s="3"/>
      <c r="G43" s="3"/>
      <c r="H43" s="18">
        <v>0.96599999999999997</v>
      </c>
      <c r="I43" s="3"/>
    </row>
    <row r="44" spans="1:9" x14ac:dyDescent="0.25">
      <c r="A44" s="15" t="s">
        <v>81</v>
      </c>
      <c r="B44" s="3"/>
      <c r="C44" s="3"/>
      <c r="D44" s="3"/>
      <c r="E44" s="3"/>
      <c r="F44" s="3"/>
      <c r="G44" s="3"/>
      <c r="H44" s="19">
        <f>H43*H31</f>
        <v>3.6385356000000004</v>
      </c>
      <c r="I44" s="3"/>
    </row>
    <row r="45" spans="1:9" x14ac:dyDescent="0.25">
      <c r="A45" s="20" t="s">
        <v>82</v>
      </c>
      <c r="B45" s="20"/>
      <c r="C45" s="20"/>
      <c r="D45" s="20"/>
      <c r="E45" s="3"/>
      <c r="F45" s="3"/>
      <c r="G45" s="3"/>
      <c r="H45" s="19"/>
      <c r="I45" s="3"/>
    </row>
    <row r="46" spans="1:9" x14ac:dyDescent="0.25">
      <c r="A46" s="15" t="s">
        <v>83</v>
      </c>
      <c r="B46" s="3"/>
      <c r="C46" s="3"/>
      <c r="D46" s="3"/>
      <c r="E46" s="3"/>
      <c r="F46" s="3"/>
      <c r="G46" s="3"/>
      <c r="H46" s="19">
        <f>H3/(H44*(H25)^1.5)</f>
        <v>51.294867507710862</v>
      </c>
      <c r="I46" s="3" t="s">
        <v>1</v>
      </c>
    </row>
    <row r="47" spans="1:9" x14ac:dyDescent="0.25">
      <c r="A47" s="20" t="s">
        <v>84</v>
      </c>
      <c r="B47" s="20"/>
      <c r="C47" s="20"/>
      <c r="D47" s="20"/>
      <c r="E47" s="3"/>
      <c r="F47" s="3"/>
      <c r="G47" s="3"/>
      <c r="H47" s="19"/>
      <c r="I47" s="3"/>
    </row>
    <row r="48" spans="1:9" x14ac:dyDescent="0.25">
      <c r="A48" s="15" t="s">
        <v>85</v>
      </c>
      <c r="B48" s="3"/>
      <c r="C48" s="3"/>
      <c r="D48" s="3"/>
      <c r="E48" s="3"/>
      <c r="F48" s="3"/>
      <c r="G48" s="3"/>
      <c r="H48" s="19">
        <f>ROUNDDOWN(H46/H9,0)</f>
        <v>2</v>
      </c>
      <c r="I48" s="3"/>
    </row>
    <row r="49" spans="1:19" s="16" customFormat="1" x14ac:dyDescent="0.25">
      <c r="A49" s="15" t="s">
        <v>86</v>
      </c>
      <c r="B49" s="15"/>
      <c r="C49" s="15"/>
      <c r="D49" s="15"/>
      <c r="E49" s="15"/>
      <c r="F49" s="15"/>
      <c r="G49" s="15"/>
      <c r="H49" s="21">
        <v>0.01</v>
      </c>
      <c r="I49" s="15"/>
    </row>
    <row r="50" spans="1:19" x14ac:dyDescent="0.25">
      <c r="A50" s="15" t="s">
        <v>87</v>
      </c>
      <c r="B50" s="3"/>
      <c r="C50" s="3"/>
      <c r="D50" s="3"/>
      <c r="E50" s="3"/>
      <c r="F50" s="3"/>
      <c r="G50" s="3"/>
      <c r="H50" s="21">
        <v>0</v>
      </c>
      <c r="I50" s="3"/>
    </row>
    <row r="51" spans="1:19" x14ac:dyDescent="0.25">
      <c r="A51" s="15" t="s">
        <v>88</v>
      </c>
      <c r="B51" s="3"/>
      <c r="C51" s="3"/>
      <c r="D51" s="3"/>
      <c r="E51" s="3"/>
      <c r="F51" s="3"/>
      <c r="G51" s="3"/>
      <c r="H51" s="19">
        <f>H46+(2*(H48*H49+H50)*H25)</f>
        <v>51.489289905316433</v>
      </c>
      <c r="I51" s="3" t="s">
        <v>1</v>
      </c>
    </row>
    <row r="52" spans="1:19" ht="15.75" thickBot="1" x14ac:dyDescent="0.3">
      <c r="A52" s="22" t="s">
        <v>0</v>
      </c>
      <c r="B52" s="22"/>
      <c r="C52" s="22"/>
      <c r="D52" s="22"/>
      <c r="E52" s="22"/>
      <c r="F52" s="22"/>
      <c r="G52" s="22"/>
      <c r="H52" s="23">
        <f>AVERAGE(H46,H51)</f>
        <v>51.392078706513644</v>
      </c>
      <c r="I52" s="22" t="s">
        <v>1</v>
      </c>
    </row>
    <row r="53" spans="1:19" x14ac:dyDescent="0.25">
      <c r="A53" s="154" t="s">
        <v>91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6"/>
    </row>
    <row r="54" spans="1:19" ht="43.5" x14ac:dyDescent="0.25">
      <c r="A54" s="24"/>
      <c r="B54" s="25"/>
      <c r="C54" s="25"/>
      <c r="D54" s="25" t="s">
        <v>23</v>
      </c>
      <c r="E54" s="25"/>
      <c r="F54" s="25" t="s">
        <v>25</v>
      </c>
      <c r="G54" s="25"/>
      <c r="H54" s="25"/>
      <c r="I54" s="25"/>
      <c r="J54" s="25"/>
      <c r="K54" s="25" t="s">
        <v>31</v>
      </c>
      <c r="L54" s="25"/>
      <c r="M54" s="25"/>
      <c r="N54" s="25"/>
      <c r="O54" s="25" t="s">
        <v>32</v>
      </c>
      <c r="P54" s="25" t="s">
        <v>15</v>
      </c>
      <c r="Q54" s="25" t="s">
        <v>17</v>
      </c>
      <c r="R54" s="25" t="s">
        <v>19</v>
      </c>
      <c r="S54" s="26" t="s">
        <v>20</v>
      </c>
    </row>
    <row r="55" spans="1:19" x14ac:dyDescent="0.25">
      <c r="A55" s="27" t="s">
        <v>3</v>
      </c>
      <c r="B55" s="28" t="s">
        <v>4</v>
      </c>
      <c r="C55" s="28" t="s">
        <v>5</v>
      </c>
      <c r="D55" s="28" t="s">
        <v>6</v>
      </c>
      <c r="E55" s="28" t="s">
        <v>26</v>
      </c>
      <c r="F55" s="28" t="s">
        <v>7</v>
      </c>
      <c r="G55" s="28" t="s">
        <v>8</v>
      </c>
      <c r="H55" s="28" t="s">
        <v>9</v>
      </c>
      <c r="I55" s="28" t="s">
        <v>10</v>
      </c>
      <c r="J55" s="28" t="s">
        <v>27</v>
      </c>
      <c r="K55" s="28" t="s">
        <v>11</v>
      </c>
      <c r="L55" s="28" t="s">
        <v>12</v>
      </c>
      <c r="M55" s="28" t="s">
        <v>13</v>
      </c>
      <c r="N55" s="28" t="s">
        <v>14</v>
      </c>
      <c r="O55" s="28" t="s">
        <v>33</v>
      </c>
      <c r="P55" s="28" t="s">
        <v>16</v>
      </c>
      <c r="Q55" s="28"/>
      <c r="R55" s="28"/>
      <c r="S55" s="29" t="s">
        <v>21</v>
      </c>
    </row>
    <row r="56" spans="1:19" x14ac:dyDescent="0.25">
      <c r="A56" s="27"/>
      <c r="B56" s="28"/>
      <c r="C56" s="28" t="s">
        <v>1</v>
      </c>
      <c r="D56" s="28" t="s">
        <v>22</v>
      </c>
      <c r="E56" s="28"/>
      <c r="F56" s="28"/>
      <c r="G56" s="28"/>
      <c r="H56" s="28" t="s">
        <v>92</v>
      </c>
      <c r="I56" s="28"/>
      <c r="J56" s="28"/>
      <c r="K56" s="28" t="s">
        <v>1</v>
      </c>
      <c r="L56" s="28" t="s">
        <v>18</v>
      </c>
      <c r="M56" s="28" t="s">
        <v>1</v>
      </c>
      <c r="N56" s="28"/>
      <c r="O56" s="28" t="s">
        <v>1</v>
      </c>
      <c r="P56" s="28" t="s">
        <v>1</v>
      </c>
      <c r="Q56" s="28" t="s">
        <v>1</v>
      </c>
      <c r="R56" s="28" t="s">
        <v>1</v>
      </c>
      <c r="S56" s="29" t="s">
        <v>128</v>
      </c>
    </row>
    <row r="57" spans="1:19" x14ac:dyDescent="0.25">
      <c r="A57" s="30">
        <v>1</v>
      </c>
      <c r="B57" s="31">
        <v>0.1</v>
      </c>
      <c r="C57" s="32">
        <f t="shared" ref="C57:C63" si="0">B57*$O$4</f>
        <v>0.48605599401392408</v>
      </c>
      <c r="D57" s="31">
        <v>0.82</v>
      </c>
      <c r="E57" s="32">
        <f t="shared" ref="E57:E63" si="1">D57*$O$6</f>
        <v>3.0886120000000004</v>
      </c>
      <c r="F57" s="32">
        <f t="shared" ref="F57:F63" si="2">C57+$O$5</f>
        <v>1.986055994013924</v>
      </c>
      <c r="G57" s="32">
        <f>F57/C57</f>
        <v>4.086064195223214</v>
      </c>
      <c r="H57" s="31">
        <v>1</v>
      </c>
      <c r="I57" s="32">
        <f>H57*E57</f>
        <v>3.0886120000000004</v>
      </c>
      <c r="J57" s="33">
        <f>I57*C57^1.5</f>
        <v>1.0466291090216442</v>
      </c>
      <c r="K57" s="32">
        <f t="shared" ref="K57:K63" si="3">C57+$O$5</f>
        <v>1.986055994013924</v>
      </c>
      <c r="L57" s="32">
        <f>J57/K57</f>
        <v>0.52698872145409736</v>
      </c>
      <c r="M57" s="34">
        <f t="shared" ref="M57:M63" si="4">L57^2/(2*$H$13)</f>
        <v>4.3123775239103136E-3</v>
      </c>
      <c r="N57" s="35">
        <f t="shared" ref="N57:N63" si="5">(L57^2*$H$14^2)/(1.486^2*K57^(4/3))</f>
        <v>2.5503986727570544E-5</v>
      </c>
      <c r="O57" s="35">
        <f t="shared" ref="O57:O63" si="6">N57*$O$7</f>
        <v>2.5503986727570547E-3</v>
      </c>
      <c r="P57" s="32">
        <f>0.1*M57</f>
        <v>4.3123775239103137E-4</v>
      </c>
      <c r="Q57" s="32">
        <f>O57+P57</f>
        <v>2.9816364251480862E-3</v>
      </c>
      <c r="R57" s="32">
        <f>C57+Q57</f>
        <v>0.48903763043907217</v>
      </c>
      <c r="S57" s="36">
        <f t="shared" ref="S57:S63" si="7">I57*$H$52*C57^1.5</f>
        <v>53.788445547368589</v>
      </c>
    </row>
    <row r="58" spans="1:19" x14ac:dyDescent="0.25">
      <c r="A58" s="30">
        <v>2</v>
      </c>
      <c r="B58" s="31">
        <v>0.2</v>
      </c>
      <c r="C58" s="32">
        <f t="shared" si="0"/>
        <v>0.97211198802784815</v>
      </c>
      <c r="D58" s="31">
        <v>0.85</v>
      </c>
      <c r="E58" s="32">
        <f t="shared" si="1"/>
        <v>3.2016100000000001</v>
      </c>
      <c r="F58" s="32">
        <f t="shared" si="2"/>
        <v>2.4721119880278479</v>
      </c>
      <c r="G58" s="32">
        <f t="shared" ref="G58:G63" si="8">F58/C58</f>
        <v>2.543032097611607</v>
      </c>
      <c r="H58" s="31">
        <v>1</v>
      </c>
      <c r="I58" s="32">
        <f t="shared" ref="I58:I63" si="9">H58*E58</f>
        <v>3.2016100000000001</v>
      </c>
      <c r="J58" s="33">
        <f t="shared" ref="J58:J63" si="10">I58*C58^1.5</f>
        <v>3.0686183381462091</v>
      </c>
      <c r="K58" s="32">
        <f t="shared" si="3"/>
        <v>2.4721119880278479</v>
      </c>
      <c r="L58" s="32">
        <f t="shared" ref="L58:L63" si="11">J58/K58</f>
        <v>1.2412942265589797</v>
      </c>
      <c r="M58" s="34">
        <f t="shared" si="4"/>
        <v>2.3925642187712041E-2</v>
      </c>
      <c r="N58" s="35">
        <f t="shared" si="5"/>
        <v>1.0567835248257263E-4</v>
      </c>
      <c r="O58" s="35">
        <f t="shared" si="6"/>
        <v>1.0567835248257263E-2</v>
      </c>
      <c r="P58" s="32">
        <f t="shared" ref="P58:P63" si="12">0.1*M58</f>
        <v>2.3925642187712041E-3</v>
      </c>
      <c r="Q58" s="32">
        <f t="shared" ref="Q58:Q63" si="13">O58+P58</f>
        <v>1.2960399467028467E-2</v>
      </c>
      <c r="R58" s="32">
        <f t="shared" ref="R58:R63" si="14">C58+Q58</f>
        <v>0.98507238749487658</v>
      </c>
      <c r="S58" s="36">
        <f t="shared" si="7"/>
        <v>157.70267515426107</v>
      </c>
    </row>
    <row r="59" spans="1:19" x14ac:dyDescent="0.25">
      <c r="A59" s="30">
        <v>3</v>
      </c>
      <c r="B59" s="31">
        <v>0.4</v>
      </c>
      <c r="C59" s="32">
        <f t="shared" si="0"/>
        <v>1.9442239760556963</v>
      </c>
      <c r="D59" s="31">
        <v>0.9</v>
      </c>
      <c r="E59" s="32">
        <f t="shared" si="1"/>
        <v>3.3899400000000006</v>
      </c>
      <c r="F59" s="32">
        <f t="shared" si="2"/>
        <v>3.4442239760556963</v>
      </c>
      <c r="G59" s="32">
        <f t="shared" si="8"/>
        <v>1.7715160488058035</v>
      </c>
      <c r="H59" s="31">
        <v>1</v>
      </c>
      <c r="I59" s="32">
        <f t="shared" si="9"/>
        <v>3.3899400000000006</v>
      </c>
      <c r="J59" s="33">
        <f t="shared" si="10"/>
        <v>9.189914127994923</v>
      </c>
      <c r="K59" s="32">
        <f t="shared" si="3"/>
        <v>3.4442239760556963</v>
      </c>
      <c r="L59" s="32">
        <f t="shared" si="11"/>
        <v>2.6682103695588215</v>
      </c>
      <c r="M59" s="34">
        <f t="shared" si="4"/>
        <v>0.11054885987921152</v>
      </c>
      <c r="N59" s="35">
        <f t="shared" si="5"/>
        <v>3.1379477303784402E-4</v>
      </c>
      <c r="O59" s="35">
        <f t="shared" si="6"/>
        <v>3.1379477303784403E-2</v>
      </c>
      <c r="P59" s="32">
        <f t="shared" si="12"/>
        <v>1.1054885987921153E-2</v>
      </c>
      <c r="Q59" s="32">
        <f t="shared" si="13"/>
        <v>4.2434363291705558E-2</v>
      </c>
      <c r="R59" s="32">
        <f t="shared" si="14"/>
        <v>1.9866583393474018</v>
      </c>
      <c r="S59" s="36">
        <f t="shared" si="7"/>
        <v>472.28879017201683</v>
      </c>
    </row>
    <row r="60" spans="1:19" x14ac:dyDescent="0.25">
      <c r="A60" s="30">
        <v>4</v>
      </c>
      <c r="B60" s="31">
        <v>0.6</v>
      </c>
      <c r="C60" s="32">
        <f t="shared" si="0"/>
        <v>2.9163359640835442</v>
      </c>
      <c r="D60" s="31">
        <v>0.94</v>
      </c>
      <c r="E60" s="32">
        <f t="shared" si="1"/>
        <v>3.5406040000000001</v>
      </c>
      <c r="F60" s="32">
        <f t="shared" si="2"/>
        <v>4.4163359640835438</v>
      </c>
      <c r="G60" s="32">
        <f t="shared" si="8"/>
        <v>1.5143440325372022</v>
      </c>
      <c r="H60" s="31">
        <v>1</v>
      </c>
      <c r="I60" s="32">
        <f t="shared" si="9"/>
        <v>3.5406040000000001</v>
      </c>
      <c r="J60" s="33">
        <f t="shared" si="10"/>
        <v>17.633303641639056</v>
      </c>
      <c r="K60" s="32">
        <f t="shared" si="3"/>
        <v>4.4163359640835438</v>
      </c>
      <c r="L60" s="32">
        <f t="shared" si="11"/>
        <v>3.9927450685464851</v>
      </c>
      <c r="M60" s="34">
        <f t="shared" si="4"/>
        <v>0.24754678854661916</v>
      </c>
      <c r="N60" s="35">
        <f t="shared" si="5"/>
        <v>5.0441474791471932E-4</v>
      </c>
      <c r="O60" s="35">
        <f t="shared" si="6"/>
        <v>5.044147479147193E-2</v>
      </c>
      <c r="P60" s="32">
        <f t="shared" si="12"/>
        <v>2.4754678854661916E-2</v>
      </c>
      <c r="Q60" s="32">
        <f t="shared" si="13"/>
        <v>7.5196153646133843E-2</v>
      </c>
      <c r="R60" s="32">
        <f t="shared" si="14"/>
        <v>2.9915321177296779</v>
      </c>
      <c r="S60" s="36">
        <f t="shared" si="7"/>
        <v>906.21212860696789</v>
      </c>
    </row>
    <row r="61" spans="1:19" x14ac:dyDescent="0.25">
      <c r="A61" s="30">
        <v>5</v>
      </c>
      <c r="B61" s="31">
        <v>0.8</v>
      </c>
      <c r="C61" s="32">
        <f t="shared" si="0"/>
        <v>3.8884479521113926</v>
      </c>
      <c r="D61" s="31">
        <v>0.97</v>
      </c>
      <c r="E61" s="32">
        <f t="shared" si="1"/>
        <v>3.6536020000000002</v>
      </c>
      <c r="F61" s="32">
        <f t="shared" si="2"/>
        <v>5.3884479521113926</v>
      </c>
      <c r="G61" s="32">
        <f t="shared" si="8"/>
        <v>1.3857580244029017</v>
      </c>
      <c r="H61" s="31">
        <v>0.98199999999999998</v>
      </c>
      <c r="I61" s="32">
        <f t="shared" si="9"/>
        <v>3.5878371640000002</v>
      </c>
      <c r="J61" s="33">
        <f t="shared" si="10"/>
        <v>27.510416111226263</v>
      </c>
      <c r="K61" s="32">
        <f t="shared" si="3"/>
        <v>5.3884479521113926</v>
      </c>
      <c r="L61" s="32">
        <f t="shared" si="11"/>
        <v>5.1054434144523322</v>
      </c>
      <c r="M61" s="34">
        <f t="shared" si="4"/>
        <v>0.40474460338780571</v>
      </c>
      <c r="N61" s="35">
        <f t="shared" si="5"/>
        <v>6.3257121931770783E-4</v>
      </c>
      <c r="O61" s="35">
        <f t="shared" si="6"/>
        <v>6.3257121931770785E-2</v>
      </c>
      <c r="P61" s="32">
        <f t="shared" si="12"/>
        <v>4.0474460338780577E-2</v>
      </c>
      <c r="Q61" s="32">
        <f t="shared" si="13"/>
        <v>0.10373158227055136</v>
      </c>
      <c r="R61" s="32">
        <f t="shared" si="14"/>
        <v>3.9921795343819442</v>
      </c>
      <c r="S61" s="36">
        <f t="shared" si="7"/>
        <v>1413.8174700370812</v>
      </c>
    </row>
    <row r="62" spans="1:19" x14ac:dyDescent="0.25">
      <c r="A62" s="37">
        <v>6</v>
      </c>
      <c r="B62" s="38">
        <v>1</v>
      </c>
      <c r="C62" s="39">
        <f t="shared" si="0"/>
        <v>4.8605599401392405</v>
      </c>
      <c r="D62" s="38">
        <v>1</v>
      </c>
      <c r="E62" s="39">
        <f t="shared" si="1"/>
        <v>3.7666000000000004</v>
      </c>
      <c r="F62" s="39">
        <f t="shared" si="2"/>
        <v>6.3605599401392405</v>
      </c>
      <c r="G62" s="39">
        <f t="shared" si="8"/>
        <v>1.3086064195223215</v>
      </c>
      <c r="H62" s="38">
        <v>0.96599999999999997</v>
      </c>
      <c r="I62" s="39">
        <f t="shared" si="9"/>
        <v>3.6385356000000004</v>
      </c>
      <c r="J62" s="40">
        <f t="shared" si="10"/>
        <v>38.990255695647356</v>
      </c>
      <c r="K62" s="39">
        <f t="shared" si="3"/>
        <v>6.3605599401392405</v>
      </c>
      <c r="L62" s="39">
        <f t="shared" si="11"/>
        <v>6.130003657318543</v>
      </c>
      <c r="M62" s="41">
        <f t="shared" si="4"/>
        <v>0.58349293227855137</v>
      </c>
      <c r="N62" s="42">
        <f t="shared" si="5"/>
        <v>7.3100736368471092E-4</v>
      </c>
      <c r="O62" s="42">
        <f t="shared" si="6"/>
        <v>7.3100736368471086E-2</v>
      </c>
      <c r="P62" s="39">
        <f t="shared" si="12"/>
        <v>5.8349293227855141E-2</v>
      </c>
      <c r="Q62" s="39">
        <f t="shared" si="13"/>
        <v>0.13145002959632623</v>
      </c>
      <c r="R62" s="39">
        <f t="shared" si="14"/>
        <v>4.9920099697355669</v>
      </c>
      <c r="S62" s="43">
        <f t="shared" si="7"/>
        <v>2003.7902894978008</v>
      </c>
    </row>
    <row r="63" spans="1:19" ht="15.75" thickBot="1" x14ac:dyDescent="0.3">
      <c r="A63" s="44">
        <v>7</v>
      </c>
      <c r="B63" s="45">
        <v>1.2</v>
      </c>
      <c r="C63" s="46">
        <f t="shared" si="0"/>
        <v>5.8326719281670885</v>
      </c>
      <c r="D63" s="45">
        <v>1.03</v>
      </c>
      <c r="E63" s="46">
        <f t="shared" si="1"/>
        <v>3.8795980000000005</v>
      </c>
      <c r="F63" s="46">
        <f t="shared" si="2"/>
        <v>7.3326719281670885</v>
      </c>
      <c r="G63" s="46">
        <f t="shared" si="8"/>
        <v>1.2571720162686011</v>
      </c>
      <c r="H63" s="45">
        <v>0.95</v>
      </c>
      <c r="I63" s="46">
        <f t="shared" si="9"/>
        <v>3.6856181000000006</v>
      </c>
      <c r="J63" s="47">
        <f t="shared" si="10"/>
        <v>51.917247086214239</v>
      </c>
      <c r="K63" s="46">
        <f t="shared" si="3"/>
        <v>7.3326719281670885</v>
      </c>
      <c r="L63" s="46">
        <f t="shared" si="11"/>
        <v>7.0802631830266183</v>
      </c>
      <c r="M63" s="48">
        <f t="shared" si="4"/>
        <v>0.77841811709506548</v>
      </c>
      <c r="N63" s="49">
        <f t="shared" si="5"/>
        <v>8.0675787585674712E-4</v>
      </c>
      <c r="O63" s="49">
        <f t="shared" si="6"/>
        <v>8.0675787585674716E-2</v>
      </c>
      <c r="P63" s="46">
        <f t="shared" si="12"/>
        <v>7.7841811709506548E-2</v>
      </c>
      <c r="Q63" s="46">
        <f t="shared" si="13"/>
        <v>0.15851759929518128</v>
      </c>
      <c r="R63" s="46">
        <f t="shared" si="14"/>
        <v>5.9911895274622697</v>
      </c>
      <c r="S63" s="50">
        <f t="shared" si="7"/>
        <v>2668.1352484802383</v>
      </c>
    </row>
  </sheetData>
  <mergeCells count="4">
    <mergeCell ref="A1:U1"/>
    <mergeCell ref="A2:I2"/>
    <mergeCell ref="A15:I15"/>
    <mergeCell ref="A53:S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F744-0E4D-4178-97F3-41A7D7FD8182}">
  <dimension ref="A1:S35"/>
  <sheetViews>
    <sheetView tabSelected="1" topLeftCell="A19" workbookViewId="0">
      <selection activeCell="K35" sqref="K35"/>
    </sheetView>
  </sheetViews>
  <sheetFormatPr defaultRowHeight="15" x14ac:dyDescent="0.25"/>
  <cols>
    <col min="9" max="9" width="11.28515625" customWidth="1"/>
    <col min="10" max="10" width="15.140625" customWidth="1"/>
    <col min="11" max="11" width="16.5703125" customWidth="1"/>
    <col min="12" max="12" width="10.5703125" customWidth="1"/>
  </cols>
  <sheetData>
    <row r="1" spans="1:19" ht="18.75" x14ac:dyDescent="0.3">
      <c r="A1" s="164" t="s">
        <v>148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6"/>
      <c r="N1" s="85"/>
      <c r="O1" s="85"/>
      <c r="P1" s="85"/>
      <c r="Q1" s="85"/>
      <c r="R1" s="85"/>
      <c r="S1" s="85"/>
    </row>
    <row r="2" spans="1:19" x14ac:dyDescent="0.25">
      <c r="A2" s="167" t="s">
        <v>93</v>
      </c>
      <c r="B2" s="168"/>
      <c r="C2" s="168"/>
      <c r="D2" s="168"/>
      <c r="E2" s="168"/>
      <c r="F2" s="168"/>
      <c r="G2" s="168"/>
      <c r="H2" s="168"/>
      <c r="I2" s="169"/>
      <c r="J2" s="170" t="s">
        <v>90</v>
      </c>
      <c r="K2" s="171"/>
      <c r="L2" s="171"/>
      <c r="M2" s="172"/>
    </row>
    <row r="3" spans="1:19" x14ac:dyDescent="0.25">
      <c r="A3" s="173" t="s">
        <v>97</v>
      </c>
      <c r="B3" s="174"/>
      <c r="C3" s="174"/>
      <c r="D3" s="174"/>
      <c r="E3" s="174"/>
      <c r="F3" s="174"/>
      <c r="G3" s="174"/>
      <c r="H3" s="174"/>
      <c r="I3" s="175"/>
      <c r="J3" s="62"/>
      <c r="K3" s="62"/>
      <c r="L3" s="62"/>
      <c r="M3" s="87"/>
    </row>
    <row r="4" spans="1:19" x14ac:dyDescent="0.25">
      <c r="A4" s="157" t="s">
        <v>111</v>
      </c>
      <c r="B4" s="158"/>
      <c r="C4" s="158"/>
      <c r="D4" s="158"/>
      <c r="E4" s="158"/>
      <c r="F4" s="158"/>
      <c r="G4" s="159"/>
      <c r="H4" s="90">
        <v>100</v>
      </c>
      <c r="I4" s="70" t="s">
        <v>1</v>
      </c>
      <c r="J4" s="62" t="s">
        <v>113</v>
      </c>
      <c r="K4" s="62"/>
      <c r="L4" s="62">
        <f>H5/H4</f>
        <v>20</v>
      </c>
      <c r="M4" s="87" t="s">
        <v>55</v>
      </c>
    </row>
    <row r="5" spans="1:19" x14ac:dyDescent="0.25">
      <c r="A5" s="157" t="s">
        <v>94</v>
      </c>
      <c r="B5" s="158"/>
      <c r="C5" s="158"/>
      <c r="D5" s="158"/>
      <c r="E5" s="158"/>
      <c r="F5" s="158"/>
      <c r="G5" s="159"/>
      <c r="H5" s="90">
        <v>2000</v>
      </c>
      <c r="I5" s="70" t="s">
        <v>37</v>
      </c>
      <c r="J5" s="62" t="s">
        <v>112</v>
      </c>
      <c r="K5" s="62"/>
      <c r="L5" s="88">
        <f>(L4/H7)^(2/3)</f>
        <v>3.1367867629367616</v>
      </c>
      <c r="M5" s="87" t="s">
        <v>1</v>
      </c>
    </row>
    <row r="6" spans="1:19" x14ac:dyDescent="0.25">
      <c r="A6" s="157" t="s">
        <v>95</v>
      </c>
      <c r="B6" s="158"/>
      <c r="C6" s="158"/>
      <c r="D6" s="158"/>
      <c r="E6" s="158"/>
      <c r="F6" s="158"/>
      <c r="G6" s="159"/>
      <c r="H6" s="90">
        <v>1000</v>
      </c>
      <c r="I6" s="70" t="s">
        <v>1</v>
      </c>
      <c r="J6" s="62"/>
      <c r="K6" s="62"/>
      <c r="L6" s="62"/>
      <c r="M6" s="87"/>
    </row>
    <row r="7" spans="1:19" x14ac:dyDescent="0.25">
      <c r="A7" s="157" t="s">
        <v>96</v>
      </c>
      <c r="B7" s="158"/>
      <c r="C7" s="158"/>
      <c r="D7" s="158"/>
      <c r="E7" s="158"/>
      <c r="F7" s="158"/>
      <c r="G7" s="159"/>
      <c r="H7" s="90">
        <v>3.6</v>
      </c>
      <c r="I7" s="70"/>
      <c r="J7" s="62"/>
      <c r="K7" s="62"/>
      <c r="L7" s="62"/>
      <c r="M7" s="87"/>
    </row>
    <row r="8" spans="1:19" x14ac:dyDescent="0.25">
      <c r="A8" s="157" t="s">
        <v>28</v>
      </c>
      <c r="B8" s="158"/>
      <c r="C8" s="158"/>
      <c r="D8" s="158"/>
      <c r="E8" s="158"/>
      <c r="F8" s="158"/>
      <c r="G8" s="159"/>
      <c r="H8" s="90">
        <v>32.200000000000003</v>
      </c>
      <c r="I8" s="70" t="s">
        <v>29</v>
      </c>
      <c r="J8" s="62"/>
      <c r="K8" s="62"/>
      <c r="L8" s="62"/>
      <c r="M8" s="87"/>
    </row>
    <row r="9" spans="1:19" x14ac:dyDescent="0.25">
      <c r="A9" s="176" t="s">
        <v>98</v>
      </c>
      <c r="B9" s="177"/>
      <c r="C9" s="177"/>
      <c r="D9" s="177"/>
      <c r="E9" s="177"/>
      <c r="F9" s="177"/>
      <c r="G9" s="177"/>
      <c r="H9" s="177"/>
      <c r="I9" s="177"/>
      <c r="J9" s="62"/>
      <c r="K9" s="62"/>
      <c r="L9" s="62"/>
      <c r="M9" s="87"/>
    </row>
    <row r="10" spans="1:19" x14ac:dyDescent="0.25">
      <c r="A10" s="157" t="s">
        <v>99</v>
      </c>
      <c r="B10" s="158"/>
      <c r="C10" s="158"/>
      <c r="D10" s="158"/>
      <c r="E10" s="158"/>
      <c r="F10" s="158"/>
      <c r="G10" s="159"/>
      <c r="H10" s="90" t="s">
        <v>100</v>
      </c>
      <c r="I10" s="70"/>
      <c r="J10" s="62"/>
      <c r="K10" s="62"/>
      <c r="L10" s="62"/>
      <c r="M10" s="87"/>
    </row>
    <row r="11" spans="1:19" x14ac:dyDescent="0.25">
      <c r="A11" s="157" t="s">
        <v>101</v>
      </c>
      <c r="B11" s="158"/>
      <c r="C11" s="158"/>
      <c r="D11" s="158"/>
      <c r="E11" s="158"/>
      <c r="F11" s="158"/>
      <c r="G11" s="159"/>
      <c r="H11" s="90">
        <v>0.5</v>
      </c>
      <c r="I11" s="70" t="s">
        <v>102</v>
      </c>
      <c r="J11" s="62" t="s">
        <v>115</v>
      </c>
      <c r="K11" s="62"/>
      <c r="L11" s="62">
        <f>H5/H13</f>
        <v>200</v>
      </c>
      <c r="M11" s="87" t="s">
        <v>55</v>
      </c>
    </row>
    <row r="12" spans="1:19" x14ac:dyDescent="0.25">
      <c r="A12" s="157"/>
      <c r="B12" s="158"/>
      <c r="C12" s="158"/>
      <c r="D12" s="158"/>
      <c r="E12" s="158"/>
      <c r="F12" s="158"/>
      <c r="G12" s="159"/>
      <c r="H12" s="90">
        <v>1</v>
      </c>
      <c r="I12" s="70" t="s">
        <v>103</v>
      </c>
      <c r="J12" s="62"/>
      <c r="K12" s="62"/>
      <c r="L12" s="62"/>
      <c r="M12" s="87"/>
    </row>
    <row r="13" spans="1:19" x14ac:dyDescent="0.25">
      <c r="A13" s="157" t="s">
        <v>104</v>
      </c>
      <c r="B13" s="158"/>
      <c r="C13" s="158"/>
      <c r="D13" s="158"/>
      <c r="E13" s="158"/>
      <c r="F13" s="158"/>
      <c r="G13" s="159"/>
      <c r="H13" s="90">
        <v>10</v>
      </c>
      <c r="I13" s="70" t="s">
        <v>1</v>
      </c>
      <c r="J13" s="62"/>
      <c r="K13" s="62"/>
      <c r="L13" s="62"/>
      <c r="M13" s="87"/>
    </row>
    <row r="14" spans="1:19" x14ac:dyDescent="0.25">
      <c r="A14" s="157" t="s">
        <v>105</v>
      </c>
      <c r="B14" s="158"/>
      <c r="C14" s="158"/>
      <c r="D14" s="158"/>
      <c r="E14" s="158"/>
      <c r="F14" s="158"/>
      <c r="G14" s="159"/>
      <c r="H14" s="90">
        <f>1/100</f>
        <v>0.01</v>
      </c>
      <c r="I14" s="70"/>
      <c r="J14" s="62"/>
      <c r="K14" s="62"/>
      <c r="L14" s="62"/>
      <c r="M14" s="87"/>
    </row>
    <row r="15" spans="1:19" x14ac:dyDescent="0.25">
      <c r="A15" s="176" t="s">
        <v>106</v>
      </c>
      <c r="B15" s="177"/>
      <c r="C15" s="177"/>
      <c r="D15" s="177"/>
      <c r="E15" s="177"/>
      <c r="F15" s="177"/>
      <c r="G15" s="177"/>
      <c r="H15" s="177"/>
      <c r="I15" s="177"/>
      <c r="J15" s="62"/>
      <c r="K15" s="62"/>
      <c r="L15" s="62"/>
      <c r="M15" s="87"/>
    </row>
    <row r="16" spans="1:19" x14ac:dyDescent="0.25">
      <c r="A16" s="157" t="s">
        <v>107</v>
      </c>
      <c r="B16" s="158"/>
      <c r="C16" s="158"/>
      <c r="D16" s="158"/>
      <c r="E16" s="158"/>
      <c r="F16" s="158"/>
      <c r="G16" s="158"/>
      <c r="H16" s="158"/>
      <c r="I16" s="159"/>
      <c r="J16" s="62" t="s">
        <v>114</v>
      </c>
      <c r="K16" s="62"/>
      <c r="L16" s="89">
        <f>(L11^2/32.2)^(1/3)</f>
        <v>10.749824478388097</v>
      </c>
      <c r="M16" s="87" t="s">
        <v>1</v>
      </c>
    </row>
    <row r="17" spans="1:16" x14ac:dyDescent="0.25">
      <c r="A17" s="157" t="s">
        <v>108</v>
      </c>
      <c r="B17" s="158"/>
      <c r="C17" s="158"/>
      <c r="D17" s="158"/>
      <c r="E17" s="158"/>
      <c r="F17" s="158"/>
      <c r="G17" s="158"/>
      <c r="H17" s="158"/>
      <c r="I17" s="159"/>
      <c r="J17" s="62" t="s">
        <v>116</v>
      </c>
      <c r="K17" s="62"/>
      <c r="L17" s="89">
        <f>L11/L16</f>
        <v>18.604954936900455</v>
      </c>
      <c r="M17" s="87" t="s">
        <v>18</v>
      </c>
    </row>
    <row r="18" spans="1:16" x14ac:dyDescent="0.25">
      <c r="A18" s="157" t="s">
        <v>109</v>
      </c>
      <c r="B18" s="158"/>
      <c r="C18" s="158"/>
      <c r="D18" s="158"/>
      <c r="E18" s="158"/>
      <c r="F18" s="158"/>
      <c r="G18" s="158"/>
      <c r="H18" s="158"/>
      <c r="I18" s="159"/>
      <c r="J18" s="62" t="s">
        <v>117</v>
      </c>
      <c r="K18" s="62"/>
      <c r="L18" s="89">
        <f>L17^2/(2*H8)</f>
        <v>5.374912239194046</v>
      </c>
      <c r="M18" s="87" t="s">
        <v>1</v>
      </c>
    </row>
    <row r="19" spans="1:16" x14ac:dyDescent="0.25">
      <c r="A19" s="157" t="s">
        <v>110</v>
      </c>
      <c r="B19" s="158"/>
      <c r="C19" s="158"/>
      <c r="D19" s="158"/>
      <c r="E19" s="158"/>
      <c r="F19" s="158"/>
      <c r="G19" s="159"/>
      <c r="H19" s="90">
        <v>100</v>
      </c>
      <c r="I19" s="70"/>
      <c r="J19" s="62"/>
      <c r="K19" s="62"/>
      <c r="L19" s="62"/>
      <c r="M19" s="87"/>
    </row>
    <row r="20" spans="1:16" x14ac:dyDescent="0.25">
      <c r="A20" s="157" t="s">
        <v>119</v>
      </c>
      <c r="B20" s="158"/>
      <c r="C20" s="158"/>
      <c r="D20" s="158"/>
      <c r="E20" s="159"/>
      <c r="F20" s="70">
        <f>H4</f>
        <v>100</v>
      </c>
      <c r="G20" s="70" t="s">
        <v>1</v>
      </c>
      <c r="H20" s="90">
        <v>16.34</v>
      </c>
      <c r="I20" s="70" t="s">
        <v>1</v>
      </c>
      <c r="J20" s="62"/>
      <c r="K20" s="62"/>
      <c r="L20" s="62"/>
      <c r="M20" s="87"/>
    </row>
    <row r="21" spans="1:16" x14ac:dyDescent="0.25">
      <c r="A21" s="157" t="s">
        <v>118</v>
      </c>
      <c r="B21" s="158"/>
      <c r="C21" s="158"/>
      <c r="D21" s="158"/>
      <c r="E21" s="158"/>
      <c r="F21" s="158"/>
      <c r="G21" s="159"/>
      <c r="H21" s="91">
        <f>H13*H20+H11*H20^2</f>
        <v>296.89779999999996</v>
      </c>
      <c r="I21" s="70" t="s">
        <v>120</v>
      </c>
      <c r="J21" s="62"/>
      <c r="K21" s="62"/>
      <c r="L21" s="62"/>
      <c r="M21" s="87"/>
    </row>
    <row r="22" spans="1:16" x14ac:dyDescent="0.25">
      <c r="A22" s="157" t="s">
        <v>121</v>
      </c>
      <c r="B22" s="158"/>
      <c r="C22" s="158"/>
      <c r="D22" s="158"/>
      <c r="E22" s="159"/>
      <c r="F22" s="70">
        <f>F20</f>
        <v>100</v>
      </c>
      <c r="G22" s="70" t="s">
        <v>1</v>
      </c>
      <c r="H22" s="92">
        <f>H5/H21</f>
        <v>6.7363247555219345</v>
      </c>
      <c r="I22" s="70" t="s">
        <v>18</v>
      </c>
      <c r="J22" s="62"/>
      <c r="K22" s="62"/>
      <c r="L22" s="62"/>
      <c r="M22" s="87"/>
    </row>
    <row r="23" spans="1:16" x14ac:dyDescent="0.25">
      <c r="A23" s="157" t="s">
        <v>122</v>
      </c>
      <c r="B23" s="158"/>
      <c r="C23" s="158"/>
      <c r="D23" s="158"/>
      <c r="E23" s="159"/>
      <c r="F23" s="70">
        <f>F22</f>
        <v>100</v>
      </c>
      <c r="G23" s="70" t="s">
        <v>1</v>
      </c>
      <c r="H23" s="92">
        <f>H22^2/(2*H8)</f>
        <v>0.70462843496673366</v>
      </c>
      <c r="I23" s="70" t="s">
        <v>1</v>
      </c>
      <c r="J23" s="62"/>
      <c r="K23" s="62"/>
      <c r="L23" s="62"/>
      <c r="M23" s="87"/>
    </row>
    <row r="24" spans="1:16" x14ac:dyDescent="0.25">
      <c r="A24" s="157" t="s">
        <v>123</v>
      </c>
      <c r="B24" s="158"/>
      <c r="C24" s="158"/>
      <c r="D24" s="158"/>
      <c r="E24" s="158"/>
      <c r="F24" s="158"/>
      <c r="G24" s="158"/>
      <c r="H24" s="158"/>
      <c r="I24" s="159"/>
      <c r="J24" s="62"/>
      <c r="K24" s="62"/>
      <c r="L24" s="62"/>
      <c r="M24" s="87"/>
    </row>
    <row r="25" spans="1:16" x14ac:dyDescent="0.25">
      <c r="A25" s="94" t="s">
        <v>124</v>
      </c>
      <c r="B25" s="70"/>
      <c r="C25" s="160" t="s">
        <v>126</v>
      </c>
      <c r="D25" s="158"/>
      <c r="E25" s="158"/>
      <c r="F25" s="158"/>
      <c r="G25" s="159"/>
      <c r="H25" s="93">
        <f>H20+H23</f>
        <v>17.044628434966732</v>
      </c>
      <c r="I25" s="70"/>
      <c r="J25" s="62"/>
      <c r="K25" s="62"/>
      <c r="L25" s="62"/>
      <c r="M25" s="87"/>
      <c r="N25" s="63"/>
      <c r="O25" s="63"/>
      <c r="P25" s="63"/>
    </row>
    <row r="26" spans="1:16" x14ac:dyDescent="0.25">
      <c r="A26" s="94" t="s">
        <v>125</v>
      </c>
      <c r="B26" s="70"/>
      <c r="C26" s="160" t="s">
        <v>127</v>
      </c>
      <c r="D26" s="158"/>
      <c r="E26" s="158"/>
      <c r="F26" s="158"/>
      <c r="G26" s="159"/>
      <c r="H26" s="93">
        <f>L16+L18+0.2*(L18-H23)</f>
        <v>17.058793478427607</v>
      </c>
      <c r="I26" s="70"/>
      <c r="J26" s="62"/>
      <c r="K26" s="62"/>
      <c r="L26" s="62"/>
      <c r="M26" s="87"/>
      <c r="N26" s="63"/>
      <c r="O26" s="63"/>
      <c r="P26" s="63"/>
    </row>
    <row r="27" spans="1:16" ht="15.75" thickBot="1" x14ac:dyDescent="0.3">
      <c r="A27" s="86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87"/>
      <c r="N27" s="63"/>
      <c r="O27" s="63"/>
      <c r="P27" s="63"/>
    </row>
    <row r="28" spans="1:16" x14ac:dyDescent="0.25">
      <c r="A28" s="161" t="s">
        <v>129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3"/>
      <c r="N28" s="64"/>
      <c r="O28" s="64"/>
      <c r="P28" s="64"/>
    </row>
    <row r="29" spans="1:16" s="53" customFormat="1" ht="45.75" customHeight="1" x14ac:dyDescent="0.25">
      <c r="A29" s="71" t="s">
        <v>130</v>
      </c>
      <c r="B29" s="51" t="s">
        <v>145</v>
      </c>
      <c r="C29" s="52" t="s">
        <v>135</v>
      </c>
      <c r="D29" s="51" t="s">
        <v>136</v>
      </c>
      <c r="E29" s="51" t="s">
        <v>137</v>
      </c>
      <c r="F29" s="51" t="s">
        <v>138</v>
      </c>
      <c r="G29" s="51" t="s">
        <v>139</v>
      </c>
      <c r="H29" s="51" t="s">
        <v>140</v>
      </c>
      <c r="I29" s="51" t="s">
        <v>146</v>
      </c>
      <c r="J29" s="51" t="s">
        <v>103</v>
      </c>
      <c r="K29" s="52" t="s">
        <v>147</v>
      </c>
      <c r="L29" s="51" t="s">
        <v>144</v>
      </c>
      <c r="M29" s="72" t="s">
        <v>141</v>
      </c>
      <c r="N29" s="65"/>
      <c r="O29" s="66"/>
      <c r="P29" s="65"/>
    </row>
    <row r="30" spans="1:16" s="1" customFormat="1" x14ac:dyDescent="0.25">
      <c r="A30" s="73"/>
      <c r="B30" s="54" t="s">
        <v>1</v>
      </c>
      <c r="C30" s="54" t="s">
        <v>1</v>
      </c>
      <c r="D30" s="54" t="s">
        <v>1</v>
      </c>
      <c r="E30" s="54" t="s">
        <v>1</v>
      </c>
      <c r="F30" s="54" t="s">
        <v>1</v>
      </c>
      <c r="G30" s="54" t="s">
        <v>1</v>
      </c>
      <c r="H30" s="54" t="s">
        <v>120</v>
      </c>
      <c r="I30" s="54" t="s">
        <v>128</v>
      </c>
      <c r="J30" s="54" t="s">
        <v>18</v>
      </c>
      <c r="K30" s="54" t="s">
        <v>1</v>
      </c>
      <c r="L30" s="54" t="s">
        <v>1</v>
      </c>
      <c r="M30" s="178"/>
      <c r="N30" s="67"/>
      <c r="O30" s="68"/>
      <c r="P30" s="67"/>
    </row>
    <row r="31" spans="1:16" x14ac:dyDescent="0.25">
      <c r="A31" s="75" t="s">
        <v>131</v>
      </c>
      <c r="B31" s="55">
        <v>100</v>
      </c>
      <c r="C31" s="55">
        <v>0</v>
      </c>
      <c r="D31" s="56">
        <f>H19</f>
        <v>100</v>
      </c>
      <c r="E31" s="56"/>
      <c r="F31" s="56">
        <f>D31+G31</f>
        <v>116.34</v>
      </c>
      <c r="G31" s="56">
        <f>H20</f>
        <v>16.34</v>
      </c>
      <c r="H31" s="58">
        <f>$H$13*G31+$H$11*G31^2</f>
        <v>296.89779999999996</v>
      </c>
      <c r="I31" s="56">
        <f>$L$4*B31</f>
        <v>2000</v>
      </c>
      <c r="J31" s="57">
        <f>I31/H31</f>
        <v>6.7363247555219345</v>
      </c>
      <c r="K31" s="56"/>
      <c r="L31" s="56"/>
      <c r="M31" s="179"/>
      <c r="N31" s="63"/>
      <c r="O31" s="69"/>
      <c r="P31" s="63"/>
    </row>
    <row r="32" spans="1:16" x14ac:dyDescent="0.25">
      <c r="A32" s="75" t="s">
        <v>132</v>
      </c>
      <c r="B32" s="55">
        <v>75</v>
      </c>
      <c r="C32" s="60">
        <f>B31-B32</f>
        <v>25</v>
      </c>
      <c r="D32" s="56">
        <f>D31+C32*$H$14</f>
        <v>100.25</v>
      </c>
      <c r="E32" s="59">
        <v>0.62</v>
      </c>
      <c r="F32" s="56">
        <f>F31+E32</f>
        <v>116.96000000000001</v>
      </c>
      <c r="G32" s="60">
        <f>F32-D32</f>
        <v>16.710000000000008</v>
      </c>
      <c r="H32" s="58">
        <f t="shared" ref="H32:H35" si="0">$H$13*G32+$H$11*G32^2</f>
        <v>306.7120500000002</v>
      </c>
      <c r="I32" s="56">
        <f>$L$4*B32</f>
        <v>1500</v>
      </c>
      <c r="J32" s="57">
        <f>I32/H32</f>
        <v>4.8905805950565</v>
      </c>
      <c r="K32" s="57">
        <f>(I32/$H$8)*(((I32/H32)+J31)/(I32+I31))*((J31-(I32/H32))+(J31*(I31-I32)/I32))</f>
        <v>0.63311219302819566</v>
      </c>
      <c r="L32" s="57">
        <f>ABS(K32-E32)</f>
        <v>1.3112193028195662E-2</v>
      </c>
      <c r="M32" s="179" t="str">
        <f>IF(L32&lt;=0.1,"OK","NOTOK")</f>
        <v>OK</v>
      </c>
      <c r="N32" s="63"/>
      <c r="O32" s="63"/>
      <c r="P32" s="63"/>
    </row>
    <row r="33" spans="1:16" x14ac:dyDescent="0.25">
      <c r="A33" s="75" t="s">
        <v>133</v>
      </c>
      <c r="B33" s="55">
        <v>50</v>
      </c>
      <c r="C33" s="60">
        <f t="shared" ref="C33:C35" si="1">B32-B33</f>
        <v>25</v>
      </c>
      <c r="D33" s="56">
        <f t="shared" ref="D33:D35" si="2">D32+C33*$H$14</f>
        <v>100.5</v>
      </c>
      <c r="E33" s="59">
        <v>0.42</v>
      </c>
      <c r="F33" s="56">
        <f t="shared" ref="F33:F35" si="3">F32+E33</f>
        <v>117.38000000000001</v>
      </c>
      <c r="G33" s="60">
        <f t="shared" ref="G33:G35" si="4">F33-D33</f>
        <v>16.88000000000001</v>
      </c>
      <c r="H33" s="58">
        <f t="shared" si="0"/>
        <v>311.26720000000023</v>
      </c>
      <c r="I33" s="56">
        <f>$L$4*B33</f>
        <v>1000</v>
      </c>
      <c r="J33" s="57">
        <f t="shared" ref="J33:J35" si="5">I33/H33</f>
        <v>3.2126738699098372</v>
      </c>
      <c r="K33" s="57">
        <f>(I33/$H$8)*(((I33/H33)+J32)/(I33+I32))*((J32-(I33/H33))+(J32*(I32-I33)/I33))</f>
        <v>0.41504738737796759</v>
      </c>
      <c r="L33" s="57">
        <f t="shared" ref="L33:L35" si="6">ABS(K33-E33)</f>
        <v>4.9526126220323929E-3</v>
      </c>
      <c r="M33" s="179" t="str">
        <f t="shared" ref="M33:M35" si="7">IF(L33&lt;=0.1,"OK","NOTOK")</f>
        <v>OK</v>
      </c>
      <c r="N33" s="63"/>
      <c r="O33" s="63"/>
      <c r="P33" s="63"/>
    </row>
    <row r="34" spans="1:16" x14ac:dyDescent="0.25">
      <c r="A34" s="75" t="s">
        <v>134</v>
      </c>
      <c r="B34" s="55">
        <v>25</v>
      </c>
      <c r="C34" s="60">
        <f t="shared" si="1"/>
        <v>25</v>
      </c>
      <c r="D34" s="56">
        <f t="shared" si="2"/>
        <v>100.75</v>
      </c>
      <c r="E34" s="59">
        <v>0.24</v>
      </c>
      <c r="F34" s="56">
        <f t="shared" si="3"/>
        <v>117.62</v>
      </c>
      <c r="G34" s="60">
        <f t="shared" si="4"/>
        <v>16.870000000000005</v>
      </c>
      <c r="H34" s="58">
        <f t="shared" si="0"/>
        <v>310.99845000000016</v>
      </c>
      <c r="I34" s="56">
        <f>$L$4*B34</f>
        <v>500</v>
      </c>
      <c r="J34" s="57">
        <f t="shared" si="5"/>
        <v>1.6077250545782455</v>
      </c>
      <c r="K34" s="57">
        <f>(I34/$H$8)*(((I34/H34)+J33)/(I34+I33))*((J33-(I34/H34))+(J33*(I33-I34)/I34))</f>
        <v>0.24040231066798309</v>
      </c>
      <c r="L34" s="57">
        <f t="shared" si="6"/>
        <v>4.0231066798310233E-4</v>
      </c>
      <c r="M34" s="179" t="str">
        <f t="shared" si="7"/>
        <v>OK</v>
      </c>
    </row>
    <row r="35" spans="1:16" ht="15.75" thickBot="1" x14ac:dyDescent="0.3">
      <c r="A35" s="77" t="s">
        <v>142</v>
      </c>
      <c r="B35" s="78">
        <v>10</v>
      </c>
      <c r="C35" s="79">
        <f t="shared" si="1"/>
        <v>15</v>
      </c>
      <c r="D35" s="80">
        <f t="shared" si="2"/>
        <v>100.9</v>
      </c>
      <c r="E35" s="81">
        <v>7.0000000000000007E-2</v>
      </c>
      <c r="F35" s="80">
        <f t="shared" si="3"/>
        <v>117.69</v>
      </c>
      <c r="G35" s="79">
        <f t="shared" si="4"/>
        <v>16.789999999999992</v>
      </c>
      <c r="H35" s="82">
        <f t="shared" si="0"/>
        <v>308.85204999999979</v>
      </c>
      <c r="I35" s="80">
        <f>$L$4*B35</f>
        <v>200</v>
      </c>
      <c r="J35" s="83">
        <f t="shared" si="5"/>
        <v>0.64755924398105869</v>
      </c>
      <c r="K35" s="83">
        <f>(I35/$H$8)*(((I35/H35)+J34)/(I35+I34))*((J34-(I35/H35))+(J34*(I34-I35)/I35))</f>
        <v>6.7473491434244692E-2</v>
      </c>
      <c r="L35" s="83">
        <f t="shared" si="6"/>
        <v>2.5265085657553144E-3</v>
      </c>
      <c r="M35" s="180" t="str">
        <f t="shared" si="7"/>
        <v>OK</v>
      </c>
    </row>
  </sheetData>
  <mergeCells count="28">
    <mergeCell ref="A3:I3"/>
    <mergeCell ref="A9:I9"/>
    <mergeCell ref="A15:I15"/>
    <mergeCell ref="A28:M28"/>
    <mergeCell ref="A1:M1"/>
    <mergeCell ref="A2:I2"/>
    <mergeCell ref="J2:M2"/>
    <mergeCell ref="A4:G4"/>
    <mergeCell ref="A5:G5"/>
    <mergeCell ref="A6:G6"/>
    <mergeCell ref="A7:G7"/>
    <mergeCell ref="A8:G8"/>
    <mergeCell ref="A10:G10"/>
    <mergeCell ref="A11:G11"/>
    <mergeCell ref="A13:G13"/>
    <mergeCell ref="A14:G14"/>
    <mergeCell ref="A12:G12"/>
    <mergeCell ref="A16:I16"/>
    <mergeCell ref="A17:I17"/>
    <mergeCell ref="A23:E23"/>
    <mergeCell ref="A24:I24"/>
    <mergeCell ref="C25:G25"/>
    <mergeCell ref="C26:G26"/>
    <mergeCell ref="A18:I18"/>
    <mergeCell ref="A19:G19"/>
    <mergeCell ref="A20:E20"/>
    <mergeCell ref="A21:G21"/>
    <mergeCell ref="A22:E2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C17AD-98A0-4B49-80BC-3AFF8BC3BEDD}">
  <sheetPr>
    <pageSetUpPr fitToPage="1"/>
  </sheetPr>
  <dimension ref="A1:S35"/>
  <sheetViews>
    <sheetView topLeftCell="A23" workbookViewId="0">
      <selection activeCell="I42" sqref="I42"/>
    </sheetView>
  </sheetViews>
  <sheetFormatPr defaultRowHeight="15" x14ac:dyDescent="0.25"/>
  <cols>
    <col min="9" max="9" width="11.28515625" customWidth="1"/>
    <col min="10" max="10" width="15.140625" customWidth="1"/>
    <col min="11" max="11" width="16.5703125" customWidth="1"/>
    <col min="12" max="12" width="10.5703125" customWidth="1"/>
  </cols>
  <sheetData>
    <row r="1" spans="1:19" ht="18.75" x14ac:dyDescent="0.3">
      <c r="A1" s="164" t="s">
        <v>148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6"/>
      <c r="N1" s="85"/>
      <c r="O1" s="85"/>
      <c r="P1" s="85"/>
      <c r="Q1" s="85"/>
      <c r="R1" s="85"/>
      <c r="S1" s="85"/>
    </row>
    <row r="2" spans="1:19" x14ac:dyDescent="0.25">
      <c r="A2" s="167" t="s">
        <v>93</v>
      </c>
      <c r="B2" s="168"/>
      <c r="C2" s="168"/>
      <c r="D2" s="168"/>
      <c r="E2" s="168"/>
      <c r="F2" s="168"/>
      <c r="G2" s="168"/>
      <c r="H2" s="168"/>
      <c r="I2" s="169"/>
      <c r="J2" s="170" t="s">
        <v>90</v>
      </c>
      <c r="K2" s="171"/>
      <c r="L2" s="171"/>
      <c r="M2" s="172"/>
    </row>
    <row r="3" spans="1:19" x14ac:dyDescent="0.25">
      <c r="A3" s="173" t="s">
        <v>97</v>
      </c>
      <c r="B3" s="174"/>
      <c r="C3" s="174"/>
      <c r="D3" s="174"/>
      <c r="E3" s="174"/>
      <c r="F3" s="174"/>
      <c r="G3" s="174"/>
      <c r="H3" s="174"/>
      <c r="I3" s="175"/>
      <c r="J3" s="62"/>
      <c r="K3" s="62"/>
      <c r="L3" s="62"/>
      <c r="M3" s="87"/>
    </row>
    <row r="4" spans="1:19" x14ac:dyDescent="0.25">
      <c r="A4" s="157" t="s">
        <v>111</v>
      </c>
      <c r="B4" s="158"/>
      <c r="C4" s="158"/>
      <c r="D4" s="158"/>
      <c r="E4" s="158"/>
      <c r="F4" s="158"/>
      <c r="G4" s="159"/>
      <c r="H4" s="90">
        <v>100</v>
      </c>
      <c r="I4" s="70" t="s">
        <v>1</v>
      </c>
      <c r="J4" s="62" t="s">
        <v>113</v>
      </c>
      <c r="K4" s="62"/>
      <c r="L4" s="62">
        <f>H5/H4</f>
        <v>20.22</v>
      </c>
      <c r="M4" s="87" t="s">
        <v>55</v>
      </c>
    </row>
    <row r="5" spans="1:19" x14ac:dyDescent="0.25">
      <c r="A5" s="157" t="s">
        <v>94</v>
      </c>
      <c r="B5" s="158"/>
      <c r="C5" s="158"/>
      <c r="D5" s="158"/>
      <c r="E5" s="158"/>
      <c r="F5" s="158"/>
      <c r="G5" s="159"/>
      <c r="H5" s="90">
        <v>2022</v>
      </c>
      <c r="I5" s="70" t="s">
        <v>37</v>
      </c>
      <c r="J5" s="62" t="s">
        <v>112</v>
      </c>
      <c r="K5" s="62"/>
      <c r="L5" s="88">
        <f>(L4/H7)^(2/3)</f>
        <v>3.1597478983722178</v>
      </c>
      <c r="M5" s="87" t="s">
        <v>1</v>
      </c>
    </row>
    <row r="6" spans="1:19" x14ac:dyDescent="0.25">
      <c r="A6" s="157" t="s">
        <v>95</v>
      </c>
      <c r="B6" s="158"/>
      <c r="C6" s="158"/>
      <c r="D6" s="158"/>
      <c r="E6" s="158"/>
      <c r="F6" s="158"/>
      <c r="G6" s="159"/>
      <c r="H6" s="90">
        <v>1000</v>
      </c>
      <c r="I6" s="70" t="s">
        <v>1</v>
      </c>
      <c r="J6" s="62"/>
      <c r="K6" s="62"/>
      <c r="L6" s="62"/>
      <c r="M6" s="87"/>
    </row>
    <row r="7" spans="1:19" x14ac:dyDescent="0.25">
      <c r="A7" s="157" t="s">
        <v>96</v>
      </c>
      <c r="B7" s="158"/>
      <c r="C7" s="158"/>
      <c r="D7" s="158"/>
      <c r="E7" s="158"/>
      <c r="F7" s="158"/>
      <c r="G7" s="159"/>
      <c r="H7" s="90">
        <v>3.6</v>
      </c>
      <c r="I7" s="70"/>
      <c r="J7" s="62"/>
      <c r="K7" s="62"/>
      <c r="L7" s="62"/>
      <c r="M7" s="87"/>
    </row>
    <row r="8" spans="1:19" x14ac:dyDescent="0.25">
      <c r="A8" s="157" t="s">
        <v>28</v>
      </c>
      <c r="B8" s="158"/>
      <c r="C8" s="158"/>
      <c r="D8" s="158"/>
      <c r="E8" s="158"/>
      <c r="F8" s="158"/>
      <c r="G8" s="159"/>
      <c r="H8" s="90">
        <v>32.200000000000003</v>
      </c>
      <c r="I8" s="70" t="s">
        <v>29</v>
      </c>
      <c r="J8" s="62"/>
      <c r="K8" s="62"/>
      <c r="L8" s="62"/>
      <c r="M8" s="87"/>
    </row>
    <row r="9" spans="1:19" x14ac:dyDescent="0.25">
      <c r="A9" s="176" t="s">
        <v>98</v>
      </c>
      <c r="B9" s="177"/>
      <c r="C9" s="177"/>
      <c r="D9" s="177"/>
      <c r="E9" s="177"/>
      <c r="F9" s="177"/>
      <c r="G9" s="177"/>
      <c r="H9" s="177"/>
      <c r="I9" s="177"/>
      <c r="J9" s="62"/>
      <c r="K9" s="62"/>
      <c r="L9" s="62"/>
      <c r="M9" s="87"/>
    </row>
    <row r="10" spans="1:19" x14ac:dyDescent="0.25">
      <c r="A10" s="157" t="s">
        <v>99</v>
      </c>
      <c r="B10" s="158"/>
      <c r="C10" s="158"/>
      <c r="D10" s="158"/>
      <c r="E10" s="158"/>
      <c r="F10" s="158"/>
      <c r="G10" s="159"/>
      <c r="H10" s="90" t="s">
        <v>100</v>
      </c>
      <c r="I10" s="70"/>
      <c r="J10" s="62"/>
      <c r="K10" s="62"/>
      <c r="L10" s="62"/>
      <c r="M10" s="87"/>
    </row>
    <row r="11" spans="1:19" x14ac:dyDescent="0.25">
      <c r="A11" s="157" t="s">
        <v>101</v>
      </c>
      <c r="B11" s="158"/>
      <c r="C11" s="158"/>
      <c r="D11" s="158"/>
      <c r="E11" s="158"/>
      <c r="F11" s="158"/>
      <c r="G11" s="159"/>
      <c r="H11" s="90">
        <v>0.5</v>
      </c>
      <c r="I11" s="70" t="s">
        <v>102</v>
      </c>
      <c r="J11" s="62" t="s">
        <v>115</v>
      </c>
      <c r="K11" s="62"/>
      <c r="L11" s="62">
        <f>H5/H13</f>
        <v>202.2</v>
      </c>
      <c r="M11" s="87" t="s">
        <v>55</v>
      </c>
    </row>
    <row r="12" spans="1:19" x14ac:dyDescent="0.25">
      <c r="A12" s="157"/>
      <c r="B12" s="158"/>
      <c r="C12" s="158"/>
      <c r="D12" s="158"/>
      <c r="E12" s="158"/>
      <c r="F12" s="158"/>
      <c r="G12" s="159"/>
      <c r="H12" s="90">
        <v>1</v>
      </c>
      <c r="I12" s="70" t="s">
        <v>103</v>
      </c>
      <c r="J12" s="62"/>
      <c r="K12" s="62"/>
      <c r="L12" s="62"/>
      <c r="M12" s="87"/>
    </row>
    <row r="13" spans="1:19" x14ac:dyDescent="0.25">
      <c r="A13" s="157" t="s">
        <v>104</v>
      </c>
      <c r="B13" s="158"/>
      <c r="C13" s="158"/>
      <c r="D13" s="158"/>
      <c r="E13" s="158"/>
      <c r="F13" s="158"/>
      <c r="G13" s="159"/>
      <c r="H13" s="90">
        <v>10</v>
      </c>
      <c r="I13" s="70" t="s">
        <v>1</v>
      </c>
      <c r="J13" s="62"/>
      <c r="K13" s="62"/>
      <c r="L13" s="62"/>
      <c r="M13" s="87"/>
    </row>
    <row r="14" spans="1:19" x14ac:dyDescent="0.25">
      <c r="A14" s="157" t="s">
        <v>105</v>
      </c>
      <c r="B14" s="158"/>
      <c r="C14" s="158"/>
      <c r="D14" s="158"/>
      <c r="E14" s="158"/>
      <c r="F14" s="158"/>
      <c r="G14" s="159"/>
      <c r="H14" s="90">
        <f>1/100</f>
        <v>0.01</v>
      </c>
      <c r="I14" s="70"/>
      <c r="J14" s="62"/>
      <c r="K14" s="62"/>
      <c r="L14" s="62"/>
      <c r="M14" s="87"/>
    </row>
    <row r="15" spans="1:19" x14ac:dyDescent="0.25">
      <c r="A15" s="176" t="s">
        <v>106</v>
      </c>
      <c r="B15" s="177"/>
      <c r="C15" s="177"/>
      <c r="D15" s="177"/>
      <c r="E15" s="177"/>
      <c r="F15" s="177"/>
      <c r="G15" s="177"/>
      <c r="H15" s="177"/>
      <c r="I15" s="177"/>
      <c r="J15" s="62"/>
      <c r="K15" s="62"/>
      <c r="L15" s="62"/>
      <c r="M15" s="87"/>
    </row>
    <row r="16" spans="1:19" x14ac:dyDescent="0.25">
      <c r="A16" s="157" t="s">
        <v>107</v>
      </c>
      <c r="B16" s="158"/>
      <c r="C16" s="158"/>
      <c r="D16" s="158"/>
      <c r="E16" s="158"/>
      <c r="F16" s="158"/>
      <c r="G16" s="158"/>
      <c r="H16" s="158"/>
      <c r="I16" s="159"/>
      <c r="J16" s="62" t="s">
        <v>114</v>
      </c>
      <c r="K16" s="62"/>
      <c r="L16" s="89">
        <f>(L11^2/32.2)^(1/3)</f>
        <v>10.828512701212833</v>
      </c>
      <c r="M16" s="87" t="s">
        <v>1</v>
      </c>
    </row>
    <row r="17" spans="1:16" x14ac:dyDescent="0.25">
      <c r="A17" s="157" t="s">
        <v>108</v>
      </c>
      <c r="B17" s="158"/>
      <c r="C17" s="158"/>
      <c r="D17" s="158"/>
      <c r="E17" s="158"/>
      <c r="F17" s="158"/>
      <c r="G17" s="158"/>
      <c r="H17" s="158"/>
      <c r="I17" s="159"/>
      <c r="J17" s="62" t="s">
        <v>116</v>
      </c>
      <c r="K17" s="62"/>
      <c r="L17" s="89">
        <f>L11/L16</f>
        <v>18.672924489191654</v>
      </c>
      <c r="M17" s="87" t="s">
        <v>18</v>
      </c>
    </row>
    <row r="18" spans="1:16" x14ac:dyDescent="0.25">
      <c r="A18" s="157" t="s">
        <v>109</v>
      </c>
      <c r="B18" s="158"/>
      <c r="C18" s="158"/>
      <c r="D18" s="158"/>
      <c r="E18" s="158"/>
      <c r="F18" s="158"/>
      <c r="G18" s="158"/>
      <c r="H18" s="158"/>
      <c r="I18" s="159"/>
      <c r="J18" s="62" t="s">
        <v>117</v>
      </c>
      <c r="K18" s="62"/>
      <c r="L18" s="89">
        <f>L17^2/(2*H8)</f>
        <v>5.4142563506064194</v>
      </c>
      <c r="M18" s="87" t="s">
        <v>1</v>
      </c>
    </row>
    <row r="19" spans="1:16" x14ac:dyDescent="0.25">
      <c r="A19" s="157" t="s">
        <v>110</v>
      </c>
      <c r="B19" s="158"/>
      <c r="C19" s="158"/>
      <c r="D19" s="158"/>
      <c r="E19" s="158"/>
      <c r="F19" s="158"/>
      <c r="G19" s="159"/>
      <c r="H19" s="90">
        <v>100</v>
      </c>
      <c r="I19" s="70"/>
      <c r="J19" s="62"/>
      <c r="K19" s="62"/>
      <c r="L19" s="62"/>
      <c r="M19" s="87"/>
    </row>
    <row r="20" spans="1:16" x14ac:dyDescent="0.25">
      <c r="A20" s="157" t="s">
        <v>119</v>
      </c>
      <c r="B20" s="158"/>
      <c r="C20" s="158"/>
      <c r="D20" s="158"/>
      <c r="E20" s="159"/>
      <c r="F20" s="70">
        <f>H4</f>
        <v>100</v>
      </c>
      <c r="G20" s="70" t="s">
        <v>1</v>
      </c>
      <c r="H20" s="90">
        <v>16.34</v>
      </c>
      <c r="I20" s="70" t="s">
        <v>1</v>
      </c>
      <c r="J20" s="62"/>
      <c r="K20" s="62"/>
      <c r="L20" s="62"/>
      <c r="M20" s="87"/>
    </row>
    <row r="21" spans="1:16" x14ac:dyDescent="0.25">
      <c r="A21" s="157" t="s">
        <v>118</v>
      </c>
      <c r="B21" s="158"/>
      <c r="C21" s="158"/>
      <c r="D21" s="158"/>
      <c r="E21" s="158"/>
      <c r="F21" s="158"/>
      <c r="G21" s="159"/>
      <c r="H21" s="91">
        <f>H13*H20+H11*H20^2</f>
        <v>296.89779999999996</v>
      </c>
      <c r="I21" s="70" t="s">
        <v>120</v>
      </c>
      <c r="J21" s="62"/>
      <c r="K21" s="62"/>
      <c r="L21" s="62"/>
      <c r="M21" s="87"/>
    </row>
    <row r="22" spans="1:16" x14ac:dyDescent="0.25">
      <c r="A22" s="157" t="s">
        <v>121</v>
      </c>
      <c r="B22" s="158"/>
      <c r="C22" s="158"/>
      <c r="D22" s="158"/>
      <c r="E22" s="159"/>
      <c r="F22" s="70">
        <f>F20</f>
        <v>100</v>
      </c>
      <c r="G22" s="70" t="s">
        <v>1</v>
      </c>
      <c r="H22" s="92">
        <f>H5/H21</f>
        <v>6.8104243278326759</v>
      </c>
      <c r="I22" s="70" t="s">
        <v>18</v>
      </c>
      <c r="J22" s="62"/>
      <c r="K22" s="62"/>
      <c r="L22" s="62"/>
      <c r="M22" s="87"/>
    </row>
    <row r="23" spans="1:16" x14ac:dyDescent="0.25">
      <c r="A23" s="157" t="s">
        <v>122</v>
      </c>
      <c r="B23" s="158"/>
      <c r="C23" s="158"/>
      <c r="D23" s="158"/>
      <c r="E23" s="159"/>
      <c r="F23" s="70">
        <f>F22</f>
        <v>100</v>
      </c>
      <c r="G23" s="70" t="s">
        <v>1</v>
      </c>
      <c r="H23" s="92">
        <f>H22^2/(2*H8)</f>
        <v>0.72021552057663274</v>
      </c>
      <c r="I23" s="70" t="s">
        <v>1</v>
      </c>
      <c r="J23" s="62"/>
      <c r="K23" s="62"/>
      <c r="L23" s="62"/>
      <c r="M23" s="87"/>
    </row>
    <row r="24" spans="1:16" x14ac:dyDescent="0.25">
      <c r="A24" s="157" t="s">
        <v>123</v>
      </c>
      <c r="B24" s="158"/>
      <c r="C24" s="158"/>
      <c r="D24" s="158"/>
      <c r="E24" s="158"/>
      <c r="F24" s="158"/>
      <c r="G24" s="158"/>
      <c r="H24" s="158"/>
      <c r="I24" s="159"/>
      <c r="J24" s="62"/>
      <c r="K24" s="62"/>
      <c r="L24" s="62"/>
      <c r="M24" s="87"/>
    </row>
    <row r="25" spans="1:16" x14ac:dyDescent="0.25">
      <c r="A25" s="94" t="s">
        <v>124</v>
      </c>
      <c r="B25" s="70"/>
      <c r="C25" s="160" t="s">
        <v>126</v>
      </c>
      <c r="D25" s="158"/>
      <c r="E25" s="158"/>
      <c r="F25" s="158"/>
      <c r="G25" s="159"/>
      <c r="H25" s="93">
        <f>H20+H23</f>
        <v>17.060215520576634</v>
      </c>
      <c r="I25" s="70"/>
      <c r="J25" s="62"/>
      <c r="K25" s="62"/>
      <c r="L25" s="62"/>
      <c r="M25" s="87"/>
      <c r="N25" s="63"/>
      <c r="O25" s="63"/>
      <c r="P25" s="63"/>
    </row>
    <row r="26" spans="1:16" x14ac:dyDescent="0.25">
      <c r="A26" s="94" t="s">
        <v>125</v>
      </c>
      <c r="B26" s="70"/>
      <c r="C26" s="160" t="s">
        <v>127</v>
      </c>
      <c r="D26" s="158"/>
      <c r="E26" s="158"/>
      <c r="F26" s="158"/>
      <c r="G26" s="159"/>
      <c r="H26" s="93">
        <f>L16+L18+0.2*(L18-H23)</f>
        <v>17.181577217825208</v>
      </c>
      <c r="I26" s="70"/>
      <c r="J26" s="62"/>
      <c r="K26" s="62"/>
      <c r="L26" s="62"/>
      <c r="M26" s="87"/>
      <c r="N26" s="63"/>
      <c r="O26" s="63"/>
      <c r="P26" s="63"/>
    </row>
    <row r="27" spans="1:16" ht="15.75" thickBot="1" x14ac:dyDescent="0.3">
      <c r="A27" s="86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87"/>
      <c r="N27" s="63"/>
      <c r="O27" s="63"/>
      <c r="P27" s="63"/>
    </row>
    <row r="28" spans="1:16" x14ac:dyDescent="0.25">
      <c r="A28" s="161" t="s">
        <v>129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3"/>
      <c r="N28" s="64"/>
      <c r="O28" s="64"/>
      <c r="P28" s="64"/>
    </row>
    <row r="29" spans="1:16" s="53" customFormat="1" ht="45.75" customHeight="1" x14ac:dyDescent="0.25">
      <c r="A29" s="71" t="s">
        <v>130</v>
      </c>
      <c r="B29" s="51" t="s">
        <v>145</v>
      </c>
      <c r="C29" s="52" t="s">
        <v>135</v>
      </c>
      <c r="D29" s="51" t="s">
        <v>136</v>
      </c>
      <c r="E29" s="51" t="s">
        <v>137</v>
      </c>
      <c r="F29" s="51" t="s">
        <v>138</v>
      </c>
      <c r="G29" s="51" t="s">
        <v>139</v>
      </c>
      <c r="H29" s="51" t="s">
        <v>140</v>
      </c>
      <c r="I29" s="51" t="s">
        <v>146</v>
      </c>
      <c r="J29" s="51" t="s">
        <v>103</v>
      </c>
      <c r="K29" s="52" t="s">
        <v>147</v>
      </c>
      <c r="L29" s="51" t="s">
        <v>144</v>
      </c>
      <c r="M29" s="72" t="s">
        <v>141</v>
      </c>
      <c r="N29" s="65"/>
      <c r="O29" s="66"/>
      <c r="P29" s="65"/>
    </row>
    <row r="30" spans="1:16" s="1" customFormat="1" x14ac:dyDescent="0.25">
      <c r="A30" s="73"/>
      <c r="B30" s="54" t="s">
        <v>1</v>
      </c>
      <c r="C30" s="54" t="s">
        <v>1</v>
      </c>
      <c r="D30" s="54" t="s">
        <v>1</v>
      </c>
      <c r="E30" s="54" t="s">
        <v>1</v>
      </c>
      <c r="F30" s="54" t="s">
        <v>1</v>
      </c>
      <c r="G30" s="54" t="s">
        <v>1</v>
      </c>
      <c r="H30" s="54" t="s">
        <v>120</v>
      </c>
      <c r="I30" s="54" t="s">
        <v>128</v>
      </c>
      <c r="J30" s="54" t="s">
        <v>18</v>
      </c>
      <c r="K30" s="54" t="s">
        <v>1</v>
      </c>
      <c r="L30" s="54" t="s">
        <v>1</v>
      </c>
      <c r="M30" s="74"/>
      <c r="N30" s="67"/>
      <c r="O30" s="68"/>
      <c r="P30" s="67"/>
    </row>
    <row r="31" spans="1:16" x14ac:dyDescent="0.25">
      <c r="A31" s="75" t="s">
        <v>131</v>
      </c>
      <c r="B31" s="55">
        <v>100</v>
      </c>
      <c r="C31" s="55">
        <v>0</v>
      </c>
      <c r="D31" s="56">
        <f>H19</f>
        <v>100</v>
      </c>
      <c r="E31" s="56"/>
      <c r="F31" s="56">
        <f>D31+G31</f>
        <v>116.34</v>
      </c>
      <c r="G31" s="56">
        <f>H20</f>
        <v>16.34</v>
      </c>
      <c r="H31" s="58">
        <f>$H$13*G31+$H$11*G31^2</f>
        <v>296.89779999999996</v>
      </c>
      <c r="I31" s="56">
        <f>$L$4*B31</f>
        <v>2022</v>
      </c>
      <c r="J31" s="57">
        <f>I31/H31</f>
        <v>6.8104243278326759</v>
      </c>
      <c r="K31" s="56"/>
      <c r="L31" s="56"/>
      <c r="M31" s="76"/>
      <c r="N31" s="63"/>
      <c r="O31" s="69"/>
      <c r="P31" s="63"/>
    </row>
    <row r="32" spans="1:16" x14ac:dyDescent="0.25">
      <c r="A32" s="75" t="s">
        <v>132</v>
      </c>
      <c r="B32" s="55">
        <v>75</v>
      </c>
      <c r="C32" s="60">
        <f>B31-B32</f>
        <v>25</v>
      </c>
      <c r="D32" s="56">
        <f>D31+C32*$H$14</f>
        <v>100.25</v>
      </c>
      <c r="E32" s="59">
        <v>0.65</v>
      </c>
      <c r="F32" s="56">
        <f>F31+E32</f>
        <v>116.99000000000001</v>
      </c>
      <c r="G32" s="60">
        <f>F32-D32</f>
        <v>16.740000000000009</v>
      </c>
      <c r="H32" s="58">
        <f t="shared" ref="H32:H35" si="0">$H$13*G32+$H$11*G32^2</f>
        <v>307.51380000000023</v>
      </c>
      <c r="I32" s="56">
        <f>$L$4*B32</f>
        <v>1516.5</v>
      </c>
      <c r="J32" s="57">
        <f>I32/H32</f>
        <v>4.9314860016038269</v>
      </c>
      <c r="K32" s="57">
        <f>(I32/$H$8)*(((I32/H32)+J31)/(I32+I31))*((J31-(I32/H32))+(J31*(I31-I32)/I32))</f>
        <v>0.64842221733001815</v>
      </c>
      <c r="L32" s="57">
        <f>ABS(K32-E32)</f>
        <v>1.5777826699818753E-3</v>
      </c>
      <c r="M32" s="76" t="str">
        <f>IF(L32&lt;=0.1,"OK","NOTOK")</f>
        <v>OK</v>
      </c>
      <c r="N32" s="63"/>
      <c r="O32" s="63"/>
      <c r="P32" s="63"/>
    </row>
    <row r="33" spans="1:16" x14ac:dyDescent="0.25">
      <c r="A33" s="75" t="s">
        <v>133</v>
      </c>
      <c r="B33" s="55">
        <v>50</v>
      </c>
      <c r="C33" s="60">
        <f t="shared" ref="C33:C35" si="1">B32-B33</f>
        <v>25</v>
      </c>
      <c r="D33" s="56">
        <f t="shared" ref="D33:D35" si="2">D32+C33*$H$14</f>
        <v>100.5</v>
      </c>
      <c r="E33" s="59">
        <v>0.42</v>
      </c>
      <c r="F33" s="56">
        <f t="shared" ref="F33:F35" si="3">F32+E33</f>
        <v>117.41000000000001</v>
      </c>
      <c r="G33" s="60">
        <f t="shared" ref="G33:G35" si="4">F33-D33</f>
        <v>16.910000000000011</v>
      </c>
      <c r="H33" s="58">
        <f t="shared" si="0"/>
        <v>312.07405000000028</v>
      </c>
      <c r="I33" s="56">
        <f>$L$4*B33</f>
        <v>1011</v>
      </c>
      <c r="J33" s="57">
        <f t="shared" ref="J33:J35" si="5">I33/H33</f>
        <v>3.2396157258189171</v>
      </c>
      <c r="K33" s="57">
        <f>(I33/$H$8)*(((I33/H33)+J32)/(I33+I32))*((J32-(I33/H33))+(J32*(I32-I33)/I33))</f>
        <v>0.42201591336986738</v>
      </c>
      <c r="L33" s="57">
        <f t="shared" ref="L33:L35" si="6">ABS(K33-E33)</f>
        <v>2.0159133698673948E-3</v>
      </c>
      <c r="M33" s="76" t="str">
        <f t="shared" ref="M33:M35" si="7">IF(L33&lt;=0.1,"OK","NOTOK")</f>
        <v>OK</v>
      </c>
      <c r="N33" s="63"/>
      <c r="O33" s="63"/>
      <c r="P33" s="63"/>
    </row>
    <row r="34" spans="1:16" x14ac:dyDescent="0.25">
      <c r="A34" s="75" t="s">
        <v>134</v>
      </c>
      <c r="B34" s="55">
        <v>25</v>
      </c>
      <c r="C34" s="60">
        <f t="shared" si="1"/>
        <v>25</v>
      </c>
      <c r="D34" s="56">
        <f t="shared" si="2"/>
        <v>100.75</v>
      </c>
      <c r="E34" s="59">
        <v>0.24</v>
      </c>
      <c r="F34" s="56">
        <f t="shared" si="3"/>
        <v>117.65</v>
      </c>
      <c r="G34" s="60">
        <f t="shared" si="4"/>
        <v>16.900000000000006</v>
      </c>
      <c r="H34" s="58">
        <f t="shared" si="0"/>
        <v>311.80500000000018</v>
      </c>
      <c r="I34" s="56">
        <f>$L$4*B34</f>
        <v>505.5</v>
      </c>
      <c r="J34" s="57">
        <f t="shared" si="5"/>
        <v>1.6212055611680367</v>
      </c>
      <c r="K34" s="57">
        <f>(I34/$H$8)*(((I34/H34)+J33)/(I34+I33))*((J33-(I34/H34))+(J33*(I33-I34)/I34))</f>
        <v>0.2444513008398482</v>
      </c>
      <c r="L34" s="57">
        <f t="shared" si="6"/>
        <v>4.4513008398482101E-3</v>
      </c>
      <c r="M34" s="76" t="str">
        <f t="shared" si="7"/>
        <v>OK</v>
      </c>
    </row>
    <row r="35" spans="1:16" ht="15.75" thickBot="1" x14ac:dyDescent="0.3">
      <c r="A35" s="77" t="s">
        <v>142</v>
      </c>
      <c r="B35" s="78">
        <v>10</v>
      </c>
      <c r="C35" s="79">
        <f t="shared" si="1"/>
        <v>15</v>
      </c>
      <c r="D35" s="80">
        <f t="shared" si="2"/>
        <v>100.9</v>
      </c>
      <c r="E35" s="81">
        <v>7.0000000000000007E-2</v>
      </c>
      <c r="F35" s="80">
        <f t="shared" si="3"/>
        <v>117.72</v>
      </c>
      <c r="G35" s="79">
        <f t="shared" si="4"/>
        <v>16.819999999999993</v>
      </c>
      <c r="H35" s="82">
        <f t="shared" si="0"/>
        <v>309.65619999999979</v>
      </c>
      <c r="I35" s="80">
        <f>$L$4*B35</f>
        <v>202.2</v>
      </c>
      <c r="J35" s="83">
        <f t="shared" si="5"/>
        <v>0.65298224288743489</v>
      </c>
      <c r="K35" s="83">
        <f>(I35/$H$8)*(((I35/H35)+J34)/(I35+I34))*((J34-(I35/H35))+(J34*(I34-I35)/I35))</f>
        <v>6.8609676438764394E-2</v>
      </c>
      <c r="L35" s="83">
        <f t="shared" si="6"/>
        <v>1.3903235612356124E-3</v>
      </c>
      <c r="M35" s="84" t="str">
        <f t="shared" si="7"/>
        <v>OK</v>
      </c>
    </row>
  </sheetData>
  <mergeCells count="28">
    <mergeCell ref="A5:G5"/>
    <mergeCell ref="A1:M1"/>
    <mergeCell ref="A2:I2"/>
    <mergeCell ref="J2:M2"/>
    <mergeCell ref="A3:I3"/>
    <mergeCell ref="A4:G4"/>
    <mergeCell ref="A17:I17"/>
    <mergeCell ref="A6:G6"/>
    <mergeCell ref="A7:G7"/>
    <mergeCell ref="A8:G8"/>
    <mergeCell ref="A9:I9"/>
    <mergeCell ref="A10:G10"/>
    <mergeCell ref="A11:G11"/>
    <mergeCell ref="A12:G12"/>
    <mergeCell ref="A13:G13"/>
    <mergeCell ref="A14:G14"/>
    <mergeCell ref="A15:I15"/>
    <mergeCell ref="A16:I16"/>
    <mergeCell ref="A24:I24"/>
    <mergeCell ref="C25:G25"/>
    <mergeCell ref="C26:G26"/>
    <mergeCell ref="A28:M28"/>
    <mergeCell ref="A18:I18"/>
    <mergeCell ref="A19:G19"/>
    <mergeCell ref="A20:E20"/>
    <mergeCell ref="A21:G21"/>
    <mergeCell ref="A22:E22"/>
    <mergeCell ref="A23:E23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problem 9.1 USBR</vt:lpstr>
      <vt:lpstr>assignment 9.1</vt:lpstr>
      <vt:lpstr>side channel spillway</vt:lpstr>
      <vt:lpstr>assignment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2019-05-12T09:08:14Z</dcterms:modified>
</cp:coreProperties>
</file>